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vdPas Consultancy/09. opdrachtgevers/Dalen Groep B.V. - Veilingweg, Huissen/9.1.4 Correspondentie/2026/02. februari/2026-02-18 Mario toez div documenten/"/>
    </mc:Choice>
  </mc:AlternateContent>
  <xr:revisionPtr revIDLastSave="0" documentId="13_ncr:1_{A01DB369-6FF3-7F4E-A379-1F926BA3DB8E}" xr6:coauthVersionLast="47" xr6:coauthVersionMax="47" xr10:uidLastSave="{00000000-0000-0000-0000-000000000000}"/>
  <bookViews>
    <workbookView xWindow="1660" yWindow="600" windowWidth="21980" windowHeight="20880" xr2:uid="{5A246322-24D2-8D49-B1C2-004097668D49}"/>
  </bookViews>
  <sheets>
    <sheet name="Scope Absoluut" sheetId="4" r:id="rId1"/>
    <sheet name="Scope Jaar" sheetId="3" r:id="rId2"/>
    <sheet name="Scope Halfjaar" sheetId="2" r:id="rId3"/>
    <sheet name="Absoluut" sheetId="5" r:id="rId4"/>
    <sheet name="CO2" sheetId="14" r:id="rId5"/>
    <sheet name="Lasgas bepaling" sheetId="8" r:id="rId6"/>
    <sheet name="CO2 equivalenten" sheetId="9" r:id="rId7"/>
    <sheet name="alles" sheetId="11" r:id="rId8"/>
    <sheet name="Inzichtelijk" sheetId="15" r:id="rId9"/>
    <sheet name="Controle tabellen" sheetId="16" state="hidden" r:id="rId10"/>
    <sheet name="Materieel" sheetId="17" r:id="rId11"/>
  </sheets>
  <definedNames>
    <definedName name="_xlnm.Print_Area" localSheetId="3">Absoluut!$A$1:$K$191</definedName>
    <definedName name="_xlnm.Print_Area" localSheetId="4">'CO2'!$A$1:$K$182</definedName>
    <definedName name="_xlnm.Print_Area" localSheetId="6">'CO2 equivalenten'!$A$1:$S$153</definedName>
    <definedName name="_xlnm.Print_Area" localSheetId="0">'Scope Absoluut'!$A$1:$F$40</definedName>
    <definedName name="_xlnm.Print_Area" localSheetId="1">'Scope Jaar'!$A$1:$E$67</definedName>
    <definedName name="_xlnm.Print_Titles" localSheetId="3">Absoluut!$1:$2</definedName>
    <definedName name="_xlnm.Print_Titles" localSheetId="4">'CO2'!$1:$2</definedName>
    <definedName name="_xlnm.Print_Titles" localSheetId="6">'CO2 equivalenten'!$3:$4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2" i="16" l="1"/>
  <c r="F221" i="16"/>
  <c r="D221" i="16"/>
  <c r="C221" i="16"/>
  <c r="W49" i="17"/>
  <c r="X49" i="17"/>
  <c r="W50" i="17"/>
  <c r="X50" i="17"/>
  <c r="W51" i="17"/>
  <c r="X51" i="17"/>
  <c r="W52" i="17"/>
  <c r="X52" i="17"/>
  <c r="X38" i="17"/>
  <c r="X39" i="17"/>
  <c r="X40" i="17"/>
  <c r="X41" i="17"/>
  <c r="X42" i="17"/>
  <c r="X43" i="17"/>
  <c r="X44" i="17"/>
  <c r="X45" i="17"/>
  <c r="X46" i="17"/>
  <c r="X47" i="17"/>
  <c r="X48" i="17"/>
  <c r="X37" i="17"/>
  <c r="V53" i="17"/>
  <c r="U53" i="17"/>
  <c r="W48" i="17"/>
  <c r="W47" i="17"/>
  <c r="W46" i="17"/>
  <c r="W45" i="17"/>
  <c r="W44" i="17"/>
  <c r="W43" i="17"/>
  <c r="W42" i="17"/>
  <c r="W41" i="17"/>
  <c r="W40" i="17"/>
  <c r="W39" i="17"/>
  <c r="W38" i="17"/>
  <c r="F57" i="17"/>
  <c r="F58" i="17"/>
  <c r="F59" i="17"/>
  <c r="F56" i="17"/>
  <c r="D60" i="17"/>
  <c r="C60" i="17"/>
  <c r="E59" i="17"/>
  <c r="E58" i="17"/>
  <c r="E57" i="17"/>
  <c r="E56" i="17"/>
  <c r="K9" i="17"/>
  <c r="L9" i="17"/>
  <c r="T10" i="11"/>
  <c r="U10" i="11"/>
  <c r="U7" i="11"/>
  <c r="T7" i="11"/>
  <c r="U9" i="11"/>
  <c r="T9" i="11"/>
  <c r="U8" i="11"/>
  <c r="T8" i="11"/>
  <c r="T37" i="11"/>
  <c r="V37" i="11"/>
  <c r="W37" i="11"/>
  <c r="X37" i="11"/>
  <c r="Y37" i="11"/>
  <c r="Z37" i="11"/>
  <c r="AA37" i="11"/>
  <c r="AB37" i="11"/>
  <c r="AC37" i="11"/>
  <c r="AD37" i="11"/>
  <c r="AE37" i="11"/>
  <c r="AF37" i="11"/>
  <c r="AG37" i="11"/>
  <c r="U57" i="11"/>
  <c r="U2" i="11"/>
  <c r="I115" i="14"/>
  <c r="G115" i="14"/>
  <c r="E115" i="14"/>
  <c r="C115" i="14"/>
  <c r="I119" i="5"/>
  <c r="G119" i="5"/>
  <c r="E119" i="5"/>
  <c r="C119" i="5"/>
  <c r="P107" i="9"/>
  <c r="P106" i="9"/>
  <c r="P105" i="9"/>
  <c r="P104" i="9"/>
  <c r="P103" i="9"/>
  <c r="P101" i="9"/>
  <c r="P100" i="9"/>
  <c r="P98" i="9"/>
  <c r="P92" i="9"/>
  <c r="P90" i="9"/>
  <c r="P89" i="9"/>
  <c r="P88" i="9"/>
  <c r="P10" i="9"/>
  <c r="P9" i="9"/>
  <c r="P8" i="9"/>
  <c r="P7" i="9"/>
  <c r="P6" i="9"/>
  <c r="P35" i="9"/>
  <c r="P34" i="9"/>
  <c r="P33" i="9"/>
  <c r="P32" i="9"/>
  <c r="P31" i="9"/>
  <c r="P26" i="9"/>
  <c r="J190" i="5"/>
  <c r="I190" i="5"/>
  <c r="H190" i="5"/>
  <c r="G190" i="5"/>
  <c r="F190" i="5"/>
  <c r="E190" i="5"/>
  <c r="D190" i="5"/>
  <c r="C190" i="5"/>
  <c r="J189" i="5"/>
  <c r="I189" i="5"/>
  <c r="H189" i="5"/>
  <c r="G189" i="5"/>
  <c r="F189" i="5"/>
  <c r="E189" i="5"/>
  <c r="D189" i="5"/>
  <c r="C189" i="5"/>
  <c r="J188" i="5"/>
  <c r="I188" i="5"/>
  <c r="H188" i="5"/>
  <c r="G188" i="5"/>
  <c r="F188" i="5"/>
  <c r="E188" i="5"/>
  <c r="D188" i="5"/>
  <c r="C188" i="5"/>
  <c r="J187" i="5"/>
  <c r="I187" i="5"/>
  <c r="H187" i="5"/>
  <c r="H186" i="5" s="1"/>
  <c r="G187" i="5"/>
  <c r="G186" i="5" s="1"/>
  <c r="F187" i="5"/>
  <c r="E187" i="5"/>
  <c r="E186" i="5" s="1"/>
  <c r="D187" i="5"/>
  <c r="D186" i="5" s="1"/>
  <c r="C187" i="5"/>
  <c r="C186" i="5" s="1"/>
  <c r="J185" i="5"/>
  <c r="I185" i="5"/>
  <c r="H185" i="5"/>
  <c r="G185" i="5"/>
  <c r="F185" i="5"/>
  <c r="E185" i="5"/>
  <c r="D185" i="5"/>
  <c r="C185" i="5"/>
  <c r="J184" i="5"/>
  <c r="I184" i="5"/>
  <c r="H184" i="5"/>
  <c r="G184" i="5"/>
  <c r="F184" i="5"/>
  <c r="E184" i="5"/>
  <c r="D184" i="5"/>
  <c r="C184" i="5"/>
  <c r="J183" i="5"/>
  <c r="I183" i="5"/>
  <c r="H183" i="5"/>
  <c r="G183" i="5"/>
  <c r="F183" i="5"/>
  <c r="E183" i="5"/>
  <c r="D183" i="5"/>
  <c r="C183" i="5"/>
  <c r="J182" i="5"/>
  <c r="I182" i="5"/>
  <c r="H182" i="5"/>
  <c r="H181" i="5" s="1"/>
  <c r="G182" i="5"/>
  <c r="F182" i="5"/>
  <c r="E182" i="5"/>
  <c r="E181" i="5" s="1"/>
  <c r="D182" i="5"/>
  <c r="D181" i="5" s="1"/>
  <c r="C182" i="5"/>
  <c r="C181" i="5" s="1"/>
  <c r="J180" i="5"/>
  <c r="I180" i="5"/>
  <c r="H180" i="5"/>
  <c r="G180" i="5"/>
  <c r="F180" i="5"/>
  <c r="E180" i="5"/>
  <c r="D180" i="5"/>
  <c r="C180" i="5"/>
  <c r="J179" i="5"/>
  <c r="I179" i="5"/>
  <c r="H179" i="5"/>
  <c r="G179" i="5"/>
  <c r="F179" i="5"/>
  <c r="E179" i="5"/>
  <c r="D179" i="5"/>
  <c r="C179" i="5"/>
  <c r="J178" i="5"/>
  <c r="I178" i="5"/>
  <c r="H178" i="5"/>
  <c r="G178" i="5"/>
  <c r="F178" i="5"/>
  <c r="E178" i="5"/>
  <c r="D178" i="5"/>
  <c r="C178" i="5"/>
  <c r="J177" i="5"/>
  <c r="I177" i="5"/>
  <c r="I176" i="5" s="1"/>
  <c r="H177" i="5"/>
  <c r="G177" i="5"/>
  <c r="G176" i="5" s="1"/>
  <c r="F177" i="5"/>
  <c r="F176" i="5" s="1"/>
  <c r="E177" i="5"/>
  <c r="E176" i="5" s="1"/>
  <c r="D177" i="5"/>
  <c r="D176" i="5" s="1"/>
  <c r="C177" i="5"/>
  <c r="C176" i="5" s="1"/>
  <c r="J175" i="5"/>
  <c r="I175" i="5"/>
  <c r="H175" i="5"/>
  <c r="G175" i="5"/>
  <c r="F175" i="5"/>
  <c r="E175" i="5"/>
  <c r="D175" i="5"/>
  <c r="C175" i="5"/>
  <c r="J174" i="5"/>
  <c r="I174" i="5"/>
  <c r="H174" i="5"/>
  <c r="G174" i="5"/>
  <c r="F174" i="5"/>
  <c r="E174" i="5"/>
  <c r="D174" i="5"/>
  <c r="C174" i="5"/>
  <c r="J173" i="5"/>
  <c r="I173" i="5"/>
  <c r="H173" i="5"/>
  <c r="G173" i="5"/>
  <c r="F173" i="5"/>
  <c r="E173" i="5"/>
  <c r="D173" i="5"/>
  <c r="C173" i="5"/>
  <c r="J172" i="5"/>
  <c r="I172" i="5"/>
  <c r="H172" i="5"/>
  <c r="H171" i="5" s="1"/>
  <c r="G172" i="5"/>
  <c r="F172" i="5"/>
  <c r="E172" i="5"/>
  <c r="D172" i="5"/>
  <c r="C172" i="5"/>
  <c r="J170" i="5"/>
  <c r="I170" i="5"/>
  <c r="H170" i="5"/>
  <c r="G170" i="5"/>
  <c r="F170" i="5"/>
  <c r="E170" i="5"/>
  <c r="D170" i="5"/>
  <c r="C170" i="5"/>
  <c r="J169" i="5"/>
  <c r="I169" i="5"/>
  <c r="H169" i="5"/>
  <c r="G169" i="5"/>
  <c r="F169" i="5"/>
  <c r="E169" i="5"/>
  <c r="D169" i="5"/>
  <c r="C169" i="5"/>
  <c r="J168" i="5"/>
  <c r="I168" i="5"/>
  <c r="H168" i="5"/>
  <c r="G168" i="5"/>
  <c r="F168" i="5"/>
  <c r="E168" i="5"/>
  <c r="D168" i="5"/>
  <c r="C168" i="5"/>
  <c r="J167" i="5"/>
  <c r="J166" i="5" s="1"/>
  <c r="I167" i="5"/>
  <c r="I166" i="5" s="1"/>
  <c r="H167" i="5"/>
  <c r="H166" i="5" s="1"/>
  <c r="G167" i="5"/>
  <c r="G166" i="5" s="1"/>
  <c r="F167" i="5"/>
  <c r="E167" i="5"/>
  <c r="D167" i="5"/>
  <c r="C167" i="5"/>
  <c r="J165" i="5"/>
  <c r="I165" i="5"/>
  <c r="H165" i="5"/>
  <c r="G165" i="5"/>
  <c r="F165" i="5"/>
  <c r="E165" i="5"/>
  <c r="D165" i="5"/>
  <c r="C165" i="5"/>
  <c r="J164" i="5"/>
  <c r="I164" i="5"/>
  <c r="H164" i="5"/>
  <c r="G164" i="5"/>
  <c r="F164" i="5"/>
  <c r="E164" i="5"/>
  <c r="D164" i="5"/>
  <c r="C164" i="5"/>
  <c r="J163" i="5"/>
  <c r="I163" i="5"/>
  <c r="H163" i="5"/>
  <c r="G163" i="5"/>
  <c r="F163" i="5"/>
  <c r="E163" i="5"/>
  <c r="D163" i="5"/>
  <c r="C163" i="5"/>
  <c r="J162" i="5"/>
  <c r="I162" i="5"/>
  <c r="H162" i="5"/>
  <c r="H161" i="5" s="1"/>
  <c r="G162" i="5"/>
  <c r="F162" i="5"/>
  <c r="E162" i="5"/>
  <c r="D162" i="5"/>
  <c r="C162" i="5"/>
  <c r="J160" i="5"/>
  <c r="I160" i="5"/>
  <c r="H160" i="5"/>
  <c r="G160" i="5"/>
  <c r="F160" i="5"/>
  <c r="E160" i="5"/>
  <c r="D160" i="5"/>
  <c r="C160" i="5"/>
  <c r="J159" i="5"/>
  <c r="I159" i="5"/>
  <c r="H159" i="5"/>
  <c r="G159" i="5"/>
  <c r="F159" i="5"/>
  <c r="E159" i="5"/>
  <c r="D159" i="5"/>
  <c r="C159" i="5"/>
  <c r="J158" i="5"/>
  <c r="I158" i="5"/>
  <c r="H158" i="5"/>
  <c r="G158" i="5"/>
  <c r="F158" i="5"/>
  <c r="E158" i="5"/>
  <c r="D158" i="5"/>
  <c r="C158" i="5"/>
  <c r="J157" i="5"/>
  <c r="I157" i="5"/>
  <c r="H157" i="5"/>
  <c r="H156" i="5" s="1"/>
  <c r="G157" i="5"/>
  <c r="F157" i="5"/>
  <c r="E157" i="5"/>
  <c r="D157" i="5"/>
  <c r="C157" i="5"/>
  <c r="J152" i="5"/>
  <c r="I152" i="5"/>
  <c r="H152" i="5"/>
  <c r="G152" i="5"/>
  <c r="F152" i="5"/>
  <c r="E152" i="5"/>
  <c r="D152" i="5"/>
  <c r="C152" i="5"/>
  <c r="J151" i="5"/>
  <c r="I151" i="5"/>
  <c r="H151" i="5"/>
  <c r="G151" i="5"/>
  <c r="F151" i="5"/>
  <c r="E151" i="5"/>
  <c r="D151" i="5"/>
  <c r="C151" i="5"/>
  <c r="J150" i="5"/>
  <c r="I150" i="5"/>
  <c r="H150" i="5"/>
  <c r="G150" i="5"/>
  <c r="F150" i="5"/>
  <c r="E150" i="5"/>
  <c r="D150" i="5"/>
  <c r="C150" i="5"/>
  <c r="J149" i="5"/>
  <c r="I149" i="5"/>
  <c r="H149" i="5"/>
  <c r="G149" i="5"/>
  <c r="F149" i="5"/>
  <c r="E149" i="5"/>
  <c r="D149" i="5"/>
  <c r="C149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J55" i="5"/>
  <c r="I55" i="5"/>
  <c r="H55" i="5"/>
  <c r="G55" i="5"/>
  <c r="F55" i="5"/>
  <c r="E55" i="5"/>
  <c r="D55" i="5"/>
  <c r="C55" i="5"/>
  <c r="J186" i="5"/>
  <c r="I186" i="5"/>
  <c r="H176" i="5"/>
  <c r="G171" i="5"/>
  <c r="J162" i="14"/>
  <c r="I39" i="2" s="1"/>
  <c r="I162" i="14"/>
  <c r="H39" i="2" s="1"/>
  <c r="H162" i="14"/>
  <c r="G39" i="2" s="1"/>
  <c r="G162" i="14"/>
  <c r="F39" i="2" s="1"/>
  <c r="D39" i="3" s="1"/>
  <c r="F162" i="14"/>
  <c r="E39" i="2" s="1"/>
  <c r="E162" i="14"/>
  <c r="D39" i="2" s="1"/>
  <c r="D162" i="14"/>
  <c r="C39" i="2" s="1"/>
  <c r="C162" i="14"/>
  <c r="B39" i="2" s="1"/>
  <c r="D231" i="16"/>
  <c r="C231" i="16"/>
  <c r="C271" i="16"/>
  <c r="D247" i="16"/>
  <c r="C247" i="16"/>
  <c r="F252" i="16"/>
  <c r="D252" i="16"/>
  <c r="C252" i="16"/>
  <c r="F251" i="16"/>
  <c r="D251" i="16"/>
  <c r="C251" i="16"/>
  <c r="F250" i="16"/>
  <c r="D250" i="16"/>
  <c r="C250" i="16"/>
  <c r="F249" i="16"/>
  <c r="D249" i="16"/>
  <c r="C249" i="16"/>
  <c r="F248" i="16"/>
  <c r="D248" i="16"/>
  <c r="C248" i="16"/>
  <c r="F246" i="16"/>
  <c r="D246" i="16"/>
  <c r="C246" i="16"/>
  <c r="F245" i="16"/>
  <c r="D245" i="16"/>
  <c r="C245" i="16"/>
  <c r="F244" i="16"/>
  <c r="D244" i="16"/>
  <c r="C244" i="16"/>
  <c r="F243" i="16"/>
  <c r="D243" i="16"/>
  <c r="C243" i="16"/>
  <c r="F242" i="16"/>
  <c r="D242" i="16"/>
  <c r="C242" i="16"/>
  <c r="F241" i="16"/>
  <c r="D241" i="16"/>
  <c r="C241" i="16"/>
  <c r="F240" i="16"/>
  <c r="D240" i="16"/>
  <c r="C240" i="16"/>
  <c r="F239" i="16"/>
  <c r="D239" i="16"/>
  <c r="C239" i="16"/>
  <c r="F238" i="16"/>
  <c r="D238" i="16"/>
  <c r="C238" i="16"/>
  <c r="F237" i="16"/>
  <c r="D237" i="16"/>
  <c r="C237" i="16"/>
  <c r="F236" i="16"/>
  <c r="D236" i="16"/>
  <c r="C236" i="16"/>
  <c r="F235" i="16"/>
  <c r="D235" i="16"/>
  <c r="C235" i="16"/>
  <c r="F234" i="16"/>
  <c r="D234" i="16"/>
  <c r="C234" i="16"/>
  <c r="F233" i="16"/>
  <c r="D233" i="16"/>
  <c r="C233" i="16"/>
  <c r="D232" i="16"/>
  <c r="C232" i="16"/>
  <c r="H264" i="16"/>
  <c r="G264" i="16"/>
  <c r="I263" i="16"/>
  <c r="D263" i="16"/>
  <c r="C263" i="16"/>
  <c r="I262" i="16"/>
  <c r="D262" i="16"/>
  <c r="C262" i="16"/>
  <c r="I261" i="16"/>
  <c r="D261" i="16"/>
  <c r="C261" i="16"/>
  <c r="I260" i="16"/>
  <c r="D260" i="16"/>
  <c r="C260" i="16"/>
  <c r="I259" i="16"/>
  <c r="D259" i="16"/>
  <c r="C259" i="16"/>
  <c r="I258" i="16"/>
  <c r="D258" i="16"/>
  <c r="C258" i="16"/>
  <c r="I257" i="16"/>
  <c r="D257" i="16"/>
  <c r="C257" i="16"/>
  <c r="I253" i="16"/>
  <c r="D253" i="16"/>
  <c r="C253" i="16"/>
  <c r="I230" i="16"/>
  <c r="D230" i="16"/>
  <c r="C230" i="16"/>
  <c r="I229" i="16"/>
  <c r="D229" i="16"/>
  <c r="C229" i="16"/>
  <c r="I228" i="16"/>
  <c r="D228" i="16"/>
  <c r="C228" i="16"/>
  <c r="I227" i="16"/>
  <c r="D227" i="16"/>
  <c r="C227" i="16"/>
  <c r="F307" i="16"/>
  <c r="D307" i="16"/>
  <c r="C307" i="16"/>
  <c r="F306" i="16"/>
  <c r="D306" i="16"/>
  <c r="C306" i="16"/>
  <c r="F305" i="16"/>
  <c r="D305" i="16"/>
  <c r="C305" i="16"/>
  <c r="F304" i="16"/>
  <c r="D304" i="16"/>
  <c r="C304" i="16"/>
  <c r="F303" i="16"/>
  <c r="D303" i="16"/>
  <c r="C303" i="16"/>
  <c r="F302" i="16"/>
  <c r="D302" i="16"/>
  <c r="C302" i="16"/>
  <c r="F301" i="16"/>
  <c r="D301" i="16"/>
  <c r="C301" i="16"/>
  <c r="F311" i="16"/>
  <c r="D311" i="16"/>
  <c r="C311" i="16"/>
  <c r="F310" i="16"/>
  <c r="D310" i="16"/>
  <c r="C310" i="16"/>
  <c r="F309" i="16"/>
  <c r="D309" i="16"/>
  <c r="C309" i="16"/>
  <c r="F308" i="16"/>
  <c r="D308" i="16"/>
  <c r="C308" i="16"/>
  <c r="G232" i="16" l="1"/>
  <c r="G221" i="16"/>
  <c r="H221" i="16"/>
  <c r="E221" i="16"/>
  <c r="I264" i="16"/>
  <c r="W53" i="17"/>
  <c r="X53" i="17"/>
  <c r="E60" i="17"/>
  <c r="F60" i="17"/>
  <c r="E166" i="5"/>
  <c r="F166" i="5"/>
  <c r="D156" i="5"/>
  <c r="F161" i="5"/>
  <c r="G156" i="5"/>
  <c r="C156" i="5"/>
  <c r="G181" i="5"/>
  <c r="E171" i="5"/>
  <c r="F181" i="5"/>
  <c r="I181" i="5"/>
  <c r="D166" i="5"/>
  <c r="J148" i="5"/>
  <c r="I161" i="5"/>
  <c r="C171" i="5"/>
  <c r="C166" i="5"/>
  <c r="D171" i="5"/>
  <c r="J176" i="5"/>
  <c r="J181" i="5"/>
  <c r="E156" i="5"/>
  <c r="F171" i="5"/>
  <c r="G161" i="5"/>
  <c r="I171" i="5"/>
  <c r="J156" i="5"/>
  <c r="J161" i="5"/>
  <c r="F186" i="5"/>
  <c r="I148" i="5"/>
  <c r="I156" i="5"/>
  <c r="H148" i="5"/>
  <c r="D148" i="5"/>
  <c r="C161" i="5"/>
  <c r="D161" i="5"/>
  <c r="J171" i="5"/>
  <c r="G148" i="5"/>
  <c r="F148" i="5"/>
  <c r="E161" i="5"/>
  <c r="C148" i="5"/>
  <c r="E148" i="5"/>
  <c r="F156" i="5"/>
  <c r="B39" i="3"/>
  <c r="C39" i="3"/>
  <c r="E39" i="3"/>
  <c r="G241" i="16"/>
  <c r="G245" i="16"/>
  <c r="G250" i="16"/>
  <c r="H233" i="16"/>
  <c r="H241" i="16"/>
  <c r="H245" i="16"/>
  <c r="H250" i="16"/>
  <c r="H301" i="16"/>
  <c r="H305" i="16"/>
  <c r="H235" i="16"/>
  <c r="H243" i="16"/>
  <c r="H248" i="16"/>
  <c r="H251" i="16"/>
  <c r="G301" i="16"/>
  <c r="G305" i="16"/>
  <c r="H232" i="16"/>
  <c r="H236" i="16"/>
  <c r="H240" i="16"/>
  <c r="G251" i="16"/>
  <c r="H238" i="16"/>
  <c r="G236" i="16"/>
  <c r="G240" i="16"/>
  <c r="G244" i="16"/>
  <c r="G249" i="16"/>
  <c r="E257" i="16"/>
  <c r="E261" i="16"/>
  <c r="E235" i="16"/>
  <c r="E239" i="16"/>
  <c r="E54" i="5"/>
  <c r="I54" i="5"/>
  <c r="C54" i="5"/>
  <c r="G54" i="5"/>
  <c r="E252" i="16"/>
  <c r="F54" i="5"/>
  <c r="J54" i="5"/>
  <c r="D54" i="5"/>
  <c r="H54" i="5"/>
  <c r="I59" i="5"/>
  <c r="E59" i="5"/>
  <c r="E258" i="16"/>
  <c r="E262" i="16"/>
  <c r="E227" i="16"/>
  <c r="E259" i="16"/>
  <c r="E263" i="16"/>
  <c r="H64" i="5"/>
  <c r="D64" i="5"/>
  <c r="H59" i="5"/>
  <c r="D59" i="5"/>
  <c r="G64" i="5"/>
  <c r="C64" i="5"/>
  <c r="G59" i="5"/>
  <c r="C59" i="5"/>
  <c r="J64" i="5"/>
  <c r="F64" i="5"/>
  <c r="J59" i="5"/>
  <c r="F59" i="5"/>
  <c r="I64" i="5"/>
  <c r="E64" i="5"/>
  <c r="E229" i="16"/>
  <c r="E311" i="16"/>
  <c r="E304" i="16"/>
  <c r="E228" i="16"/>
  <c r="E253" i="16"/>
  <c r="E260" i="16"/>
  <c r="E234" i="16"/>
  <c r="E242" i="16"/>
  <c r="E246" i="16"/>
  <c r="E230" i="16"/>
  <c r="G237" i="16"/>
  <c r="H237" i="16"/>
  <c r="H242" i="16"/>
  <c r="H246" i="16"/>
  <c r="H252" i="16"/>
  <c r="E236" i="16"/>
  <c r="G233" i="16"/>
  <c r="H234" i="16"/>
  <c r="E238" i="16"/>
  <c r="H239" i="16"/>
  <c r="E240" i="16"/>
  <c r="E243" i="16"/>
  <c r="H244" i="16"/>
  <c r="E248" i="16"/>
  <c r="E249" i="16"/>
  <c r="E250" i="16"/>
  <c r="E231" i="16"/>
  <c r="E247" i="16"/>
  <c r="E251" i="16"/>
  <c r="H249" i="16"/>
  <c r="G252" i="16"/>
  <c r="G248" i="16"/>
  <c r="E233" i="16"/>
  <c r="G235" i="16"/>
  <c r="E237" i="16"/>
  <c r="G239" i="16"/>
  <c r="E241" i="16"/>
  <c r="G243" i="16"/>
  <c r="E245" i="16"/>
  <c r="G234" i="16"/>
  <c r="G238" i="16"/>
  <c r="G242" i="16"/>
  <c r="E244" i="16"/>
  <c r="G246" i="16"/>
  <c r="E232" i="16"/>
  <c r="E307" i="16"/>
  <c r="E303" i="16"/>
  <c r="H304" i="16"/>
  <c r="G310" i="16"/>
  <c r="H308" i="16"/>
  <c r="G309" i="16"/>
  <c r="H310" i="16"/>
  <c r="G302" i="16"/>
  <c r="H303" i="16"/>
  <c r="G306" i="16"/>
  <c r="H307" i="16"/>
  <c r="H302" i="16"/>
  <c r="H306" i="16"/>
  <c r="E302" i="16"/>
  <c r="G304" i="16"/>
  <c r="E306" i="16"/>
  <c r="H311" i="16"/>
  <c r="E301" i="16"/>
  <c r="G303" i="16"/>
  <c r="E305" i="16"/>
  <c r="G307" i="16"/>
  <c r="E308" i="16"/>
  <c r="H309" i="16"/>
  <c r="G308" i="16"/>
  <c r="E310" i="16"/>
  <c r="E309" i="16"/>
  <c r="G311" i="16"/>
  <c r="I221" i="16" l="1"/>
  <c r="I236" i="16"/>
  <c r="I252" i="16"/>
  <c r="I235" i="16"/>
  <c r="I250" i="16"/>
  <c r="I240" i="16"/>
  <c r="I241" i="16"/>
  <c r="I232" i="16"/>
  <c r="I249" i="16"/>
  <c r="I251" i="16"/>
  <c r="I305" i="16"/>
  <c r="I301" i="16"/>
  <c r="I248" i="16"/>
  <c r="I245" i="16"/>
  <c r="I238" i="16"/>
  <c r="I233" i="16"/>
  <c r="I243" i="16"/>
  <c r="I244" i="16"/>
  <c r="I246" i="16"/>
  <c r="I234" i="16"/>
  <c r="I239" i="16"/>
  <c r="I310" i="16"/>
  <c r="H247" i="16"/>
  <c r="I242" i="16"/>
  <c r="I237" i="16"/>
  <c r="G247" i="16"/>
  <c r="H231" i="16"/>
  <c r="G231" i="16"/>
  <c r="I309" i="16"/>
  <c r="I308" i="16"/>
  <c r="I303" i="16"/>
  <c r="I306" i="16"/>
  <c r="I304" i="16"/>
  <c r="I307" i="16"/>
  <c r="I302" i="16"/>
  <c r="I311" i="16"/>
  <c r="H254" i="16" l="1"/>
  <c r="I247" i="16"/>
  <c r="I231" i="16"/>
  <c r="G254" i="16"/>
  <c r="I254" i="16" l="1"/>
  <c r="F313" i="16"/>
  <c r="D313" i="16"/>
  <c r="C313" i="16"/>
  <c r="F312" i="16"/>
  <c r="D312" i="16"/>
  <c r="C312" i="16"/>
  <c r="F314" i="16"/>
  <c r="D314" i="16"/>
  <c r="C314" i="16"/>
  <c r="F315" i="16"/>
  <c r="D315" i="16"/>
  <c r="C315" i="16"/>
  <c r="I319" i="16"/>
  <c r="F319" i="16"/>
  <c r="F320" i="16"/>
  <c r="F321" i="16"/>
  <c r="F317" i="16"/>
  <c r="F318" i="16"/>
  <c r="D317" i="16"/>
  <c r="D318" i="16"/>
  <c r="D319" i="16"/>
  <c r="D320" i="16"/>
  <c r="D321" i="16"/>
  <c r="C318" i="16"/>
  <c r="C319" i="16"/>
  <c r="C320" i="16"/>
  <c r="C321" i="16"/>
  <c r="C317" i="16"/>
  <c r="I332" i="16"/>
  <c r="C331" i="16"/>
  <c r="D331" i="16"/>
  <c r="C332" i="16"/>
  <c r="D332" i="16"/>
  <c r="I331" i="16"/>
  <c r="I330" i="16"/>
  <c r="D330" i="16"/>
  <c r="C330" i="16"/>
  <c r="I329" i="16"/>
  <c r="D329" i="16"/>
  <c r="C329" i="16"/>
  <c r="I328" i="16"/>
  <c r="D328" i="16"/>
  <c r="C328" i="16"/>
  <c r="I327" i="16"/>
  <c r="D327" i="16"/>
  <c r="C327" i="16"/>
  <c r="I326" i="16"/>
  <c r="D326" i="16"/>
  <c r="C326" i="16"/>
  <c r="C296" i="16"/>
  <c r="D296" i="16"/>
  <c r="I296" i="16"/>
  <c r="C297" i="16"/>
  <c r="D297" i="16"/>
  <c r="I297" i="16"/>
  <c r="C298" i="16"/>
  <c r="D298" i="16"/>
  <c r="I298" i="16"/>
  <c r="C299" i="16"/>
  <c r="D299" i="16"/>
  <c r="I299" i="16"/>
  <c r="C300" i="16"/>
  <c r="C316" i="16"/>
  <c r="C322" i="16"/>
  <c r="D322" i="16"/>
  <c r="I322" i="16"/>
  <c r="R79" i="17"/>
  <c r="R78" i="17"/>
  <c r="R77" i="17"/>
  <c r="R76" i="17"/>
  <c r="R75" i="17"/>
  <c r="R74" i="17"/>
  <c r="R73" i="17"/>
  <c r="R72" i="17"/>
  <c r="R71" i="17"/>
  <c r="R70" i="17"/>
  <c r="R69" i="17"/>
  <c r="R68" i="17"/>
  <c r="R67" i="17"/>
  <c r="R66" i="17"/>
  <c r="R65" i="17"/>
  <c r="R61" i="17"/>
  <c r="R60" i="17"/>
  <c r="R59" i="17"/>
  <c r="R58" i="17"/>
  <c r="R57" i="17"/>
  <c r="R56" i="17"/>
  <c r="R55" i="17"/>
  <c r="R54" i="17"/>
  <c r="R53" i="17"/>
  <c r="R52" i="17"/>
  <c r="F52" i="17"/>
  <c r="R51" i="17"/>
  <c r="F51" i="17"/>
  <c r="R50" i="17"/>
  <c r="F50" i="17"/>
  <c r="F49" i="17"/>
  <c r="R46" i="17"/>
  <c r="R45" i="17"/>
  <c r="F45" i="17"/>
  <c r="R44" i="17"/>
  <c r="F44" i="17"/>
  <c r="R43" i="17"/>
  <c r="F43" i="17"/>
  <c r="F46" i="17" s="1"/>
  <c r="R42" i="17"/>
  <c r="F42" i="17"/>
  <c r="R41" i="17"/>
  <c r="R40" i="17"/>
  <c r="R39" i="17"/>
  <c r="R38" i="17"/>
  <c r="F38" i="17"/>
  <c r="R37" i="17"/>
  <c r="F37" i="17"/>
  <c r="R36" i="17"/>
  <c r="F36" i="17"/>
  <c r="R35" i="17"/>
  <c r="F35" i="17"/>
  <c r="F34" i="17"/>
  <c r="X33" i="17"/>
  <c r="F33" i="17"/>
  <c r="X32" i="17"/>
  <c r="F32" i="17"/>
  <c r="X31" i="17"/>
  <c r="R31" i="17"/>
  <c r="X30" i="17"/>
  <c r="R30" i="17"/>
  <c r="X29" i="17"/>
  <c r="R29" i="17"/>
  <c r="X28" i="17"/>
  <c r="R28" i="17"/>
  <c r="F28" i="17"/>
  <c r="X27" i="17"/>
  <c r="R27" i="17"/>
  <c r="F27" i="17"/>
  <c r="X26" i="17"/>
  <c r="R26" i="17"/>
  <c r="F26" i="17"/>
  <c r="X25" i="17"/>
  <c r="R25" i="17"/>
  <c r="F25" i="17"/>
  <c r="X24" i="17"/>
  <c r="R24" i="17"/>
  <c r="F24" i="17"/>
  <c r="X23" i="17"/>
  <c r="R23" i="17"/>
  <c r="X22" i="17"/>
  <c r="R22" i="17"/>
  <c r="X21" i="17"/>
  <c r="R21" i="17"/>
  <c r="X20" i="17"/>
  <c r="R20" i="17"/>
  <c r="F20" i="17"/>
  <c r="R19" i="17"/>
  <c r="F19" i="17"/>
  <c r="R18" i="17"/>
  <c r="F18" i="17"/>
  <c r="F17" i="17"/>
  <c r="X16" i="17"/>
  <c r="X15" i="17"/>
  <c r="X14" i="17"/>
  <c r="R14" i="17"/>
  <c r="X13" i="17"/>
  <c r="R13" i="17"/>
  <c r="F13" i="17"/>
  <c r="X12" i="17"/>
  <c r="R12" i="17"/>
  <c r="F12" i="17"/>
  <c r="X11" i="17"/>
  <c r="R11" i="17"/>
  <c r="F11" i="17"/>
  <c r="X10" i="17"/>
  <c r="R10" i="17"/>
  <c r="F10" i="17"/>
  <c r="X9" i="17"/>
  <c r="R9" i="17"/>
  <c r="X8" i="17"/>
  <c r="R8" i="17"/>
  <c r="L8" i="17"/>
  <c r="X7" i="17"/>
  <c r="R7" i="17"/>
  <c r="L7" i="17"/>
  <c r="X6" i="17"/>
  <c r="R6" i="17"/>
  <c r="L6" i="17"/>
  <c r="F6" i="17"/>
  <c r="X5" i="17"/>
  <c r="R5" i="17"/>
  <c r="L5" i="17"/>
  <c r="F5" i="17"/>
  <c r="X4" i="17"/>
  <c r="R4" i="17"/>
  <c r="L4" i="17"/>
  <c r="F4" i="17"/>
  <c r="X3" i="17"/>
  <c r="R3" i="17"/>
  <c r="L3" i="17"/>
  <c r="F3" i="17"/>
  <c r="F7" i="17" s="1"/>
  <c r="Q80" i="17"/>
  <c r="Q79" i="17"/>
  <c r="Q78" i="17"/>
  <c r="Q77" i="17"/>
  <c r="Q76" i="17"/>
  <c r="Q75" i="17"/>
  <c r="Q74" i="17"/>
  <c r="Q73" i="17"/>
  <c r="Q72" i="17"/>
  <c r="Q71" i="17"/>
  <c r="Q70" i="17"/>
  <c r="Q69" i="17"/>
  <c r="Q68" i="17"/>
  <c r="Q67" i="17"/>
  <c r="Q66" i="17"/>
  <c r="Q65" i="17"/>
  <c r="P62" i="17"/>
  <c r="O62" i="17"/>
  <c r="Q61" i="17"/>
  <c r="Q60" i="17"/>
  <c r="Q59" i="17"/>
  <c r="Q58" i="17"/>
  <c r="Q57" i="17"/>
  <c r="Q56" i="17"/>
  <c r="Q55" i="17"/>
  <c r="Q54" i="17"/>
  <c r="Q53" i="17"/>
  <c r="D53" i="17"/>
  <c r="C53" i="17"/>
  <c r="E53" i="17" s="1"/>
  <c r="Q52" i="17"/>
  <c r="E52" i="17"/>
  <c r="Q51" i="17"/>
  <c r="E51" i="17"/>
  <c r="Q50" i="17"/>
  <c r="E50" i="17"/>
  <c r="E49" i="17"/>
  <c r="Q47" i="17"/>
  <c r="P47" i="17"/>
  <c r="O47" i="17"/>
  <c r="Q46" i="17"/>
  <c r="D46" i="17"/>
  <c r="C46" i="17"/>
  <c r="E46" i="17" s="1"/>
  <c r="Q45" i="17"/>
  <c r="E45" i="17"/>
  <c r="Q44" i="17"/>
  <c r="E44" i="17"/>
  <c r="Q43" i="17"/>
  <c r="E43" i="17"/>
  <c r="Q42" i="17"/>
  <c r="E42" i="17"/>
  <c r="Q41" i="17"/>
  <c r="Q40" i="17"/>
  <c r="Q39" i="17"/>
  <c r="D39" i="17"/>
  <c r="E39" i="17" s="1"/>
  <c r="C39" i="17"/>
  <c r="Q38" i="17"/>
  <c r="E38" i="17"/>
  <c r="Q37" i="17"/>
  <c r="E37" i="17"/>
  <c r="Q36" i="17"/>
  <c r="E36" i="17"/>
  <c r="Q35" i="17"/>
  <c r="E35" i="17"/>
  <c r="V34" i="17"/>
  <c r="W34" i="17" s="1"/>
  <c r="U34" i="17"/>
  <c r="E34" i="17"/>
  <c r="W33" i="17"/>
  <c r="E33" i="17"/>
  <c r="W32" i="17"/>
  <c r="P32" i="17"/>
  <c r="Q32" i="17" s="1"/>
  <c r="O32" i="17"/>
  <c r="E32" i="17"/>
  <c r="W31" i="17"/>
  <c r="Q31" i="17"/>
  <c r="W30" i="17"/>
  <c r="Q30" i="17"/>
  <c r="W29" i="17"/>
  <c r="Q29" i="17"/>
  <c r="D29" i="17"/>
  <c r="C29" i="17"/>
  <c r="E29" i="17" s="1"/>
  <c r="W28" i="17"/>
  <c r="Q28" i="17"/>
  <c r="E28" i="17"/>
  <c r="W27" i="17"/>
  <c r="Q27" i="17"/>
  <c r="E27" i="17"/>
  <c r="W26" i="17"/>
  <c r="Q26" i="17"/>
  <c r="E26" i="17"/>
  <c r="W25" i="17"/>
  <c r="Q25" i="17"/>
  <c r="E25" i="17"/>
  <c r="W24" i="17"/>
  <c r="Q24" i="17"/>
  <c r="E24" i="17"/>
  <c r="W23" i="17"/>
  <c r="Q23" i="17"/>
  <c r="W22" i="17"/>
  <c r="Q22" i="17"/>
  <c r="W21" i="17"/>
  <c r="Q21" i="17"/>
  <c r="D21" i="17"/>
  <c r="E21" i="17" s="1"/>
  <c r="C21" i="17"/>
  <c r="W20" i="17"/>
  <c r="Q20" i="17"/>
  <c r="E20" i="17"/>
  <c r="Q19" i="17"/>
  <c r="E19" i="17"/>
  <c r="E18" i="17"/>
  <c r="V17" i="17"/>
  <c r="U17" i="17"/>
  <c r="W17" i="17" s="1"/>
  <c r="E17" i="17"/>
  <c r="W16" i="17"/>
  <c r="W15" i="17"/>
  <c r="Q15" i="17"/>
  <c r="P15" i="17"/>
  <c r="O15" i="17"/>
  <c r="W14" i="17"/>
  <c r="Q14" i="17"/>
  <c r="E14" i="17"/>
  <c r="D14" i="17"/>
  <c r="C14" i="17"/>
  <c r="W13" i="17"/>
  <c r="Q13" i="17"/>
  <c r="E13" i="17"/>
  <c r="W12" i="17"/>
  <c r="Q12" i="17"/>
  <c r="E12" i="17"/>
  <c r="W11" i="17"/>
  <c r="Q11" i="17"/>
  <c r="E11" i="17"/>
  <c r="W10" i="17"/>
  <c r="Q10" i="17"/>
  <c r="E10" i="17"/>
  <c r="W9" i="17"/>
  <c r="Q9" i="17"/>
  <c r="W8" i="17"/>
  <c r="Q8" i="17"/>
  <c r="K8" i="17"/>
  <c r="W7" i="17"/>
  <c r="Q7" i="17"/>
  <c r="K7" i="17"/>
  <c r="E7" i="17"/>
  <c r="D7" i="17"/>
  <c r="C7" i="17"/>
  <c r="W6" i="17"/>
  <c r="Q6" i="17"/>
  <c r="K6" i="17"/>
  <c r="E6" i="17"/>
  <c r="W5" i="17"/>
  <c r="Q5" i="17"/>
  <c r="K5" i="17"/>
  <c r="E5" i="17"/>
  <c r="W4" i="17"/>
  <c r="Q4" i="17"/>
  <c r="K4" i="17"/>
  <c r="E4" i="17"/>
  <c r="W3" i="17"/>
  <c r="Q3" i="17"/>
  <c r="K3" i="17"/>
  <c r="E3" i="17"/>
  <c r="J129" i="5"/>
  <c r="I129" i="5"/>
  <c r="H129" i="5"/>
  <c r="G129" i="5"/>
  <c r="F129" i="5"/>
  <c r="E129" i="5"/>
  <c r="D129" i="5"/>
  <c r="C129" i="5"/>
  <c r="S9" i="11"/>
  <c r="R9" i="11"/>
  <c r="Q9" i="11"/>
  <c r="P9" i="11"/>
  <c r="O9" i="11"/>
  <c r="N9" i="11"/>
  <c r="M9" i="11"/>
  <c r="L9" i="11"/>
  <c r="S8" i="11"/>
  <c r="S10" i="11" s="1"/>
  <c r="R8" i="11"/>
  <c r="R10" i="11" s="1"/>
  <c r="Q8" i="11"/>
  <c r="P8" i="11"/>
  <c r="O8" i="11"/>
  <c r="N8" i="11"/>
  <c r="M8" i="11"/>
  <c r="L8" i="11"/>
  <c r="S7" i="11"/>
  <c r="R7" i="11"/>
  <c r="M7" i="11"/>
  <c r="L7" i="11"/>
  <c r="J5" i="5"/>
  <c r="I5" i="5"/>
  <c r="H5" i="5"/>
  <c r="G5" i="5"/>
  <c r="F5" i="5"/>
  <c r="E5" i="5"/>
  <c r="D5" i="5"/>
  <c r="C5" i="5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B78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J182" i="14"/>
  <c r="I43" i="2" s="1"/>
  <c r="I182" i="14"/>
  <c r="H43" i="2" s="1"/>
  <c r="H182" i="14"/>
  <c r="G43" i="2" s="1"/>
  <c r="G182" i="14"/>
  <c r="F43" i="2" s="1"/>
  <c r="F182" i="14"/>
  <c r="E43" i="2" s="1"/>
  <c r="E182" i="14"/>
  <c r="D43" i="2" s="1"/>
  <c r="C43" i="3" s="1"/>
  <c r="D182" i="14"/>
  <c r="C43" i="2" s="1"/>
  <c r="C182" i="14"/>
  <c r="B43" i="2" s="1"/>
  <c r="J177" i="14"/>
  <c r="I42" i="2" s="1"/>
  <c r="I177" i="14"/>
  <c r="H42" i="2" s="1"/>
  <c r="E42" i="3" s="1"/>
  <c r="H177" i="14"/>
  <c r="G42" i="2" s="1"/>
  <c r="G177" i="14"/>
  <c r="F42" i="2" s="1"/>
  <c r="F177" i="14"/>
  <c r="E42" i="2" s="1"/>
  <c r="E177" i="14"/>
  <c r="D42" i="2" s="1"/>
  <c r="C42" i="3" s="1"/>
  <c r="D177" i="14"/>
  <c r="C42" i="2" s="1"/>
  <c r="C177" i="14"/>
  <c r="B42" i="2" s="1"/>
  <c r="J172" i="14"/>
  <c r="I41" i="2" s="1"/>
  <c r="I172" i="14"/>
  <c r="H41" i="2" s="1"/>
  <c r="E41" i="3" s="1"/>
  <c r="H172" i="14"/>
  <c r="G41" i="2" s="1"/>
  <c r="G172" i="14"/>
  <c r="F41" i="2" s="1"/>
  <c r="F172" i="14"/>
  <c r="E41" i="2" s="1"/>
  <c r="E172" i="14"/>
  <c r="D41" i="2" s="1"/>
  <c r="C41" i="3" s="1"/>
  <c r="D172" i="14"/>
  <c r="C41" i="2" s="1"/>
  <c r="C172" i="14"/>
  <c r="B41" i="2" s="1"/>
  <c r="J167" i="14"/>
  <c r="I40" i="2" s="1"/>
  <c r="I167" i="14"/>
  <c r="H40" i="2" s="1"/>
  <c r="E40" i="3" s="1"/>
  <c r="H167" i="14"/>
  <c r="G40" i="2" s="1"/>
  <c r="G167" i="14"/>
  <c r="F40" i="2" s="1"/>
  <c r="F167" i="14"/>
  <c r="E40" i="2" s="1"/>
  <c r="E167" i="14"/>
  <c r="D40" i="2" s="1"/>
  <c r="C40" i="3" s="1"/>
  <c r="D167" i="14"/>
  <c r="C40" i="2" s="1"/>
  <c r="C167" i="14"/>
  <c r="B40" i="2" s="1"/>
  <c r="J157" i="14"/>
  <c r="I38" i="2" s="1"/>
  <c r="I157" i="14"/>
  <c r="H38" i="2" s="1"/>
  <c r="E38" i="3" s="1"/>
  <c r="H157" i="14"/>
  <c r="G38" i="2" s="1"/>
  <c r="G157" i="14"/>
  <c r="F38" i="2" s="1"/>
  <c r="F157" i="14"/>
  <c r="E38" i="2" s="1"/>
  <c r="E157" i="14"/>
  <c r="D38" i="2" s="1"/>
  <c r="C38" i="3" s="1"/>
  <c r="D157" i="14"/>
  <c r="C38" i="2" s="1"/>
  <c r="C157" i="14"/>
  <c r="B38" i="2" s="1"/>
  <c r="J152" i="14"/>
  <c r="I37" i="2" s="1"/>
  <c r="I152" i="14"/>
  <c r="H37" i="2" s="1"/>
  <c r="E37" i="3" s="1"/>
  <c r="H152" i="14"/>
  <c r="G37" i="2" s="1"/>
  <c r="G152" i="14"/>
  <c r="F37" i="2" s="1"/>
  <c r="F152" i="14"/>
  <c r="E37" i="2" s="1"/>
  <c r="E152" i="14"/>
  <c r="D37" i="2" s="1"/>
  <c r="C37" i="3" s="1"/>
  <c r="C44" i="3" s="1"/>
  <c r="D152" i="14"/>
  <c r="C37" i="2" s="1"/>
  <c r="C152" i="14"/>
  <c r="B37" i="2" s="1"/>
  <c r="J144" i="14"/>
  <c r="I33" i="2" s="1"/>
  <c r="I144" i="14"/>
  <c r="H33" i="2" s="1"/>
  <c r="H144" i="14"/>
  <c r="G33" i="2" s="1"/>
  <c r="G144" i="14"/>
  <c r="F33" i="2" s="1"/>
  <c r="F144" i="14"/>
  <c r="E33" i="2" s="1"/>
  <c r="E144" i="14"/>
  <c r="D33" i="2" s="1"/>
  <c r="D144" i="14"/>
  <c r="C33" i="2" s="1"/>
  <c r="C144" i="14"/>
  <c r="B33" i="2" s="1"/>
  <c r="J62" i="14"/>
  <c r="I30" i="2" s="1"/>
  <c r="I62" i="14"/>
  <c r="H30" i="2" s="1"/>
  <c r="E30" i="3" s="1"/>
  <c r="H62" i="14"/>
  <c r="G30" i="2" s="1"/>
  <c r="G62" i="14"/>
  <c r="F30" i="2" s="1"/>
  <c r="F62" i="14"/>
  <c r="E30" i="2" s="1"/>
  <c r="E62" i="14"/>
  <c r="D30" i="2" s="1"/>
  <c r="D62" i="14"/>
  <c r="C30" i="2" s="1"/>
  <c r="C62" i="14"/>
  <c r="B30" i="2" s="1"/>
  <c r="J57" i="14"/>
  <c r="I57" i="14"/>
  <c r="H57" i="14"/>
  <c r="G57" i="14"/>
  <c r="F57" i="14"/>
  <c r="E57" i="14"/>
  <c r="D57" i="14"/>
  <c r="C57" i="14"/>
  <c r="J52" i="14"/>
  <c r="I28" i="2" s="1"/>
  <c r="I52" i="14"/>
  <c r="H28" i="2" s="1"/>
  <c r="H52" i="14"/>
  <c r="G28" i="2" s="1"/>
  <c r="G52" i="14"/>
  <c r="F28" i="2" s="1"/>
  <c r="F52" i="14"/>
  <c r="E28" i="2" s="1"/>
  <c r="E52" i="14"/>
  <c r="D28" i="2" s="1"/>
  <c r="D52" i="14"/>
  <c r="C28" i="2" s="1"/>
  <c r="B28" i="3" s="1"/>
  <c r="C52" i="14"/>
  <c r="B28" i="2" s="1"/>
  <c r="D47" i="14"/>
  <c r="E47" i="14"/>
  <c r="F47" i="14"/>
  <c r="G47" i="14"/>
  <c r="H47" i="14"/>
  <c r="I47" i="14"/>
  <c r="J47" i="14"/>
  <c r="C47" i="14"/>
  <c r="AG200" i="11"/>
  <c r="AF200" i="11"/>
  <c r="AE200" i="11"/>
  <c r="AD200" i="11"/>
  <c r="AC200" i="11"/>
  <c r="AB200" i="11"/>
  <c r="AA200" i="11"/>
  <c r="Z200" i="11"/>
  <c r="Y200" i="11"/>
  <c r="X200" i="11"/>
  <c r="W200" i="11"/>
  <c r="V200" i="11"/>
  <c r="U200" i="11"/>
  <c r="T200" i="11"/>
  <c r="S200" i="11"/>
  <c r="R200" i="11"/>
  <c r="Q200" i="11"/>
  <c r="P200" i="11"/>
  <c r="O200" i="11"/>
  <c r="N200" i="11"/>
  <c r="M200" i="11"/>
  <c r="L200" i="11"/>
  <c r="K200" i="11"/>
  <c r="J200" i="11"/>
  <c r="I200" i="11"/>
  <c r="H200" i="11"/>
  <c r="G200" i="11"/>
  <c r="F200" i="11"/>
  <c r="E200" i="11"/>
  <c r="D200" i="11"/>
  <c r="AG195" i="11"/>
  <c r="AF195" i="11"/>
  <c r="AE195" i="11"/>
  <c r="AD195" i="11"/>
  <c r="AC195" i="11"/>
  <c r="AB195" i="11"/>
  <c r="AA195" i="11"/>
  <c r="Z195" i="11"/>
  <c r="Y195" i="11"/>
  <c r="X195" i="11"/>
  <c r="W195" i="11"/>
  <c r="V195" i="11"/>
  <c r="U195" i="11"/>
  <c r="T195" i="11"/>
  <c r="S195" i="11"/>
  <c r="R195" i="11"/>
  <c r="Q195" i="11"/>
  <c r="P195" i="11"/>
  <c r="O195" i="11"/>
  <c r="N195" i="11"/>
  <c r="M195" i="11"/>
  <c r="L195" i="11"/>
  <c r="K195" i="11"/>
  <c r="J195" i="11"/>
  <c r="I195" i="11"/>
  <c r="H195" i="11"/>
  <c r="G195" i="11"/>
  <c r="F195" i="11"/>
  <c r="E195" i="11"/>
  <c r="D195" i="11"/>
  <c r="AG190" i="11"/>
  <c r="AF190" i="11"/>
  <c r="AE190" i="11"/>
  <c r="AD190" i="11"/>
  <c r="AC190" i="11"/>
  <c r="AB190" i="11"/>
  <c r="AA190" i="11"/>
  <c r="Z190" i="11"/>
  <c r="Y190" i="11"/>
  <c r="X190" i="11"/>
  <c r="W190" i="11"/>
  <c r="V190" i="11"/>
  <c r="U190" i="11"/>
  <c r="T190" i="11"/>
  <c r="S190" i="11"/>
  <c r="R190" i="11"/>
  <c r="Q190" i="11"/>
  <c r="P190" i="11"/>
  <c r="O190" i="11"/>
  <c r="N190" i="11"/>
  <c r="M190" i="11"/>
  <c r="L190" i="11"/>
  <c r="K190" i="11"/>
  <c r="J190" i="11"/>
  <c r="I190" i="11"/>
  <c r="H190" i="11"/>
  <c r="G190" i="11"/>
  <c r="F190" i="11"/>
  <c r="E190" i="11"/>
  <c r="D190" i="11"/>
  <c r="AG185" i="11"/>
  <c r="AF185" i="11"/>
  <c r="AE185" i="11"/>
  <c r="AD185" i="11"/>
  <c r="AC185" i="11"/>
  <c r="AB185" i="11"/>
  <c r="AA185" i="11"/>
  <c r="Z185" i="11"/>
  <c r="Y185" i="11"/>
  <c r="X185" i="11"/>
  <c r="W185" i="11"/>
  <c r="V185" i="11"/>
  <c r="U185" i="11"/>
  <c r="T185" i="11"/>
  <c r="S185" i="11"/>
  <c r="R185" i="11"/>
  <c r="Q185" i="11"/>
  <c r="P185" i="11"/>
  <c r="O185" i="11"/>
  <c r="N185" i="11"/>
  <c r="M185" i="11"/>
  <c r="L185" i="11"/>
  <c r="K185" i="11"/>
  <c r="J185" i="11"/>
  <c r="I185" i="11"/>
  <c r="H185" i="11"/>
  <c r="G185" i="11"/>
  <c r="F185" i="11"/>
  <c r="E185" i="11"/>
  <c r="D185" i="11"/>
  <c r="AG180" i="11"/>
  <c r="AF180" i="11"/>
  <c r="AE180" i="11"/>
  <c r="AD180" i="11"/>
  <c r="AC180" i="11"/>
  <c r="AB180" i="11"/>
  <c r="AA180" i="11"/>
  <c r="Z180" i="11"/>
  <c r="Y180" i="11"/>
  <c r="X180" i="11"/>
  <c r="W180" i="11"/>
  <c r="V180" i="11"/>
  <c r="U180" i="11"/>
  <c r="T180" i="11"/>
  <c r="S180" i="11"/>
  <c r="R180" i="11"/>
  <c r="Q180" i="11"/>
  <c r="P180" i="11"/>
  <c r="O180" i="11"/>
  <c r="N180" i="11"/>
  <c r="M180" i="11"/>
  <c r="L180" i="11"/>
  <c r="K180" i="11"/>
  <c r="J180" i="11"/>
  <c r="I180" i="11"/>
  <c r="H180" i="11"/>
  <c r="G180" i="11"/>
  <c r="F180" i="11"/>
  <c r="E180" i="11"/>
  <c r="D180" i="11"/>
  <c r="AG175" i="11"/>
  <c r="AF175" i="11"/>
  <c r="AE175" i="11"/>
  <c r="AD175" i="11"/>
  <c r="AC175" i="11"/>
  <c r="AB175" i="11"/>
  <c r="AA175" i="11"/>
  <c r="Z175" i="11"/>
  <c r="Y175" i="11"/>
  <c r="X175" i="11"/>
  <c r="W175" i="11"/>
  <c r="V175" i="11"/>
  <c r="U175" i="11"/>
  <c r="T175" i="11"/>
  <c r="S175" i="11"/>
  <c r="R175" i="11"/>
  <c r="Q175" i="11"/>
  <c r="P175" i="11"/>
  <c r="O175" i="11"/>
  <c r="N175" i="11"/>
  <c r="M175" i="11"/>
  <c r="L175" i="11"/>
  <c r="K175" i="11"/>
  <c r="J175" i="11"/>
  <c r="I175" i="11"/>
  <c r="H175" i="11"/>
  <c r="G175" i="11"/>
  <c r="F175" i="11"/>
  <c r="E175" i="11"/>
  <c r="D175" i="11"/>
  <c r="AG170" i="11"/>
  <c r="AF170" i="11"/>
  <c r="AE170" i="11"/>
  <c r="AD170" i="11"/>
  <c r="AC170" i="11"/>
  <c r="AB170" i="11"/>
  <c r="AA170" i="11"/>
  <c r="Z170" i="11"/>
  <c r="Y170" i="11"/>
  <c r="X170" i="11"/>
  <c r="W170" i="11"/>
  <c r="V170" i="11"/>
  <c r="U170" i="11"/>
  <c r="T170" i="11"/>
  <c r="S170" i="11"/>
  <c r="R170" i="11"/>
  <c r="Q170" i="11"/>
  <c r="P170" i="11"/>
  <c r="O170" i="11"/>
  <c r="N170" i="11"/>
  <c r="M170" i="11"/>
  <c r="L170" i="11"/>
  <c r="K170" i="11"/>
  <c r="J170" i="11"/>
  <c r="I170" i="11"/>
  <c r="H170" i="11"/>
  <c r="G170" i="11"/>
  <c r="F170" i="11"/>
  <c r="E170" i="11"/>
  <c r="D170" i="11"/>
  <c r="AG164" i="11"/>
  <c r="AF164" i="11"/>
  <c r="AE164" i="11"/>
  <c r="AD164" i="11"/>
  <c r="AC164" i="11"/>
  <c r="AB164" i="11"/>
  <c r="AA164" i="11"/>
  <c r="Z164" i="11"/>
  <c r="Y164" i="11"/>
  <c r="X164" i="11"/>
  <c r="W164" i="11"/>
  <c r="V164" i="11"/>
  <c r="U164" i="11"/>
  <c r="T164" i="11"/>
  <c r="S164" i="11"/>
  <c r="R164" i="11"/>
  <c r="Q164" i="11"/>
  <c r="P164" i="11"/>
  <c r="O164" i="11"/>
  <c r="N164" i="11"/>
  <c r="M164" i="11"/>
  <c r="L164" i="11"/>
  <c r="K164" i="11"/>
  <c r="J164" i="11"/>
  <c r="I164" i="11"/>
  <c r="H164" i="11"/>
  <c r="G164" i="11"/>
  <c r="F164" i="11"/>
  <c r="E164" i="11"/>
  <c r="D164" i="11"/>
  <c r="AG95" i="11"/>
  <c r="AF95" i="11"/>
  <c r="AE95" i="11"/>
  <c r="AD95" i="11"/>
  <c r="AC95" i="11"/>
  <c r="AB95" i="11"/>
  <c r="AA95" i="11"/>
  <c r="Z95" i="11"/>
  <c r="Y95" i="11"/>
  <c r="X95" i="11"/>
  <c r="W95" i="11"/>
  <c r="V95" i="11"/>
  <c r="U95" i="11"/>
  <c r="T95" i="11"/>
  <c r="S95" i="11"/>
  <c r="R95" i="11"/>
  <c r="Q95" i="11"/>
  <c r="P95" i="11"/>
  <c r="O95" i="11"/>
  <c r="N95" i="11"/>
  <c r="M95" i="11"/>
  <c r="L95" i="11"/>
  <c r="K95" i="11"/>
  <c r="J95" i="11"/>
  <c r="I95" i="11"/>
  <c r="H95" i="11"/>
  <c r="G95" i="11"/>
  <c r="F95" i="11"/>
  <c r="E95" i="11"/>
  <c r="D95" i="11"/>
  <c r="AG90" i="11"/>
  <c r="AF90" i="11"/>
  <c r="AE90" i="11"/>
  <c r="AD90" i="11"/>
  <c r="AC90" i="11"/>
  <c r="AB90" i="11"/>
  <c r="AA90" i="11"/>
  <c r="Z90" i="11"/>
  <c r="Y90" i="11"/>
  <c r="X90" i="11"/>
  <c r="W90" i="11"/>
  <c r="V90" i="11"/>
  <c r="U90" i="11"/>
  <c r="T90" i="11"/>
  <c r="S90" i="11"/>
  <c r="R90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E90" i="11"/>
  <c r="D90" i="11"/>
  <c r="AG85" i="11"/>
  <c r="AF85" i="11"/>
  <c r="AE85" i="11"/>
  <c r="AD85" i="11"/>
  <c r="AC85" i="11"/>
  <c r="AB85" i="11"/>
  <c r="AA85" i="11"/>
  <c r="Z85" i="11"/>
  <c r="Y85" i="11"/>
  <c r="X85" i="11"/>
  <c r="W85" i="11"/>
  <c r="V85" i="11"/>
  <c r="U85" i="11"/>
  <c r="T85" i="11"/>
  <c r="S85" i="11"/>
  <c r="R85" i="11"/>
  <c r="Q85" i="11"/>
  <c r="P85" i="11"/>
  <c r="O85" i="11"/>
  <c r="N85" i="11"/>
  <c r="M85" i="11"/>
  <c r="L85" i="11"/>
  <c r="K85" i="11"/>
  <c r="J85" i="11"/>
  <c r="I85" i="11"/>
  <c r="H85" i="11"/>
  <c r="G85" i="11"/>
  <c r="F85" i="11"/>
  <c r="E85" i="11"/>
  <c r="D85" i="11"/>
  <c r="AG80" i="11"/>
  <c r="AF80" i="11"/>
  <c r="AE80" i="11"/>
  <c r="AD80" i="11"/>
  <c r="AC80" i="11"/>
  <c r="AB80" i="11"/>
  <c r="AA80" i="11"/>
  <c r="Z80" i="11"/>
  <c r="Y80" i="11"/>
  <c r="X80" i="11"/>
  <c r="W80" i="11"/>
  <c r="V80" i="11"/>
  <c r="U80" i="11"/>
  <c r="T80" i="11"/>
  <c r="S80" i="11"/>
  <c r="R80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E80" i="11"/>
  <c r="D80" i="11"/>
  <c r="AG137" i="11"/>
  <c r="AG142" i="11"/>
  <c r="AG151" i="11"/>
  <c r="AG136" i="11" s="1"/>
  <c r="AF137" i="11"/>
  <c r="AF142" i="11"/>
  <c r="AF136" i="11" s="1"/>
  <c r="AF151" i="11"/>
  <c r="AE137" i="11"/>
  <c r="AE142" i="11"/>
  <c r="AE136" i="11" s="1"/>
  <c r="AE151" i="11"/>
  <c r="AD137" i="11"/>
  <c r="AD142" i="11"/>
  <c r="AD136" i="11" s="1"/>
  <c r="AD151" i="11"/>
  <c r="AC137" i="11"/>
  <c r="AC142" i="11"/>
  <c r="AC136" i="11" s="1"/>
  <c r="AC151" i="11"/>
  <c r="AB137" i="11"/>
  <c r="AB142" i="11"/>
  <c r="AB136" i="11" s="1"/>
  <c r="AB151" i="11"/>
  <c r="AA137" i="11"/>
  <c r="AA142" i="11"/>
  <c r="AA136" i="11" s="1"/>
  <c r="AA151" i="11"/>
  <c r="Z137" i="11"/>
  <c r="Z142" i="11"/>
  <c r="Z136" i="11" s="1"/>
  <c r="Z151" i="11"/>
  <c r="Y137" i="11"/>
  <c r="Y142" i="11"/>
  <c r="Y136" i="11" s="1"/>
  <c r="Y151" i="11"/>
  <c r="X137" i="11"/>
  <c r="X142" i="11"/>
  <c r="X136" i="11" s="1"/>
  <c r="X151" i="11"/>
  <c r="W137" i="11"/>
  <c r="W142" i="11"/>
  <c r="W136" i="11" s="1"/>
  <c r="W151" i="11"/>
  <c r="V137" i="11"/>
  <c r="V142" i="11"/>
  <c r="V136" i="11" s="1"/>
  <c r="V151" i="11"/>
  <c r="U137" i="11"/>
  <c r="U142" i="11"/>
  <c r="U136" i="11" s="1"/>
  <c r="D316" i="16" s="1"/>
  <c r="U151" i="11"/>
  <c r="T137" i="11"/>
  <c r="T142" i="11"/>
  <c r="T151" i="11"/>
  <c r="S137" i="11"/>
  <c r="S142" i="11"/>
  <c r="S136" i="11" s="1"/>
  <c r="S151" i="11"/>
  <c r="R137" i="11"/>
  <c r="R142" i="11"/>
  <c r="R136" i="11" s="1"/>
  <c r="R151" i="11"/>
  <c r="Q137" i="11"/>
  <c r="Q142" i="11"/>
  <c r="Q136" i="11" s="1"/>
  <c r="Q151" i="11"/>
  <c r="P137" i="11"/>
  <c r="P142" i="11"/>
  <c r="P151" i="11"/>
  <c r="O137" i="11"/>
  <c r="O142" i="11"/>
  <c r="O151" i="11"/>
  <c r="O136" i="11"/>
  <c r="N137" i="11"/>
  <c r="N142" i="11"/>
  <c r="N151" i="11"/>
  <c r="N136" i="11" s="1"/>
  <c r="M137" i="11"/>
  <c r="M142" i="11"/>
  <c r="M151" i="11"/>
  <c r="M136" i="11" s="1"/>
  <c r="L137" i="11"/>
  <c r="L142" i="11"/>
  <c r="L151" i="11"/>
  <c r="K137" i="11"/>
  <c r="K142" i="11"/>
  <c r="K151" i="11"/>
  <c r="J137" i="11"/>
  <c r="J142" i="11"/>
  <c r="J151" i="11"/>
  <c r="J136" i="11" s="1"/>
  <c r="I137" i="11"/>
  <c r="I142" i="11"/>
  <c r="I151" i="11"/>
  <c r="I136" i="11" s="1"/>
  <c r="H137" i="11"/>
  <c r="H142" i="11"/>
  <c r="H151" i="11"/>
  <c r="G137" i="11"/>
  <c r="G142" i="11"/>
  <c r="G151" i="11"/>
  <c r="F137" i="11"/>
  <c r="F142" i="11"/>
  <c r="F151" i="11"/>
  <c r="F136" i="11" s="1"/>
  <c r="E137" i="11"/>
  <c r="E142" i="11"/>
  <c r="E151" i="11"/>
  <c r="E136" i="11"/>
  <c r="D137" i="11"/>
  <c r="D142" i="11"/>
  <c r="D151" i="11"/>
  <c r="D136" i="11"/>
  <c r="AG100" i="11"/>
  <c r="AF100" i="11"/>
  <c r="AE100" i="11"/>
  <c r="AD100" i="11"/>
  <c r="AC100" i="11"/>
  <c r="AB100" i="11"/>
  <c r="AA100" i="11"/>
  <c r="Z100" i="11"/>
  <c r="Y100" i="11"/>
  <c r="X100" i="11"/>
  <c r="W100" i="11"/>
  <c r="V100" i="11"/>
  <c r="U100" i="11"/>
  <c r="D300" i="16" s="1"/>
  <c r="T100" i="11"/>
  <c r="S100" i="11"/>
  <c r="R100" i="11"/>
  <c r="Q100" i="11"/>
  <c r="P100" i="11"/>
  <c r="O100" i="11"/>
  <c r="N100" i="11"/>
  <c r="M100" i="11"/>
  <c r="L100" i="11"/>
  <c r="K100" i="11"/>
  <c r="J100" i="11"/>
  <c r="I100" i="11"/>
  <c r="H100" i="11"/>
  <c r="G100" i="11"/>
  <c r="F100" i="11"/>
  <c r="E100" i="11"/>
  <c r="D100" i="11"/>
  <c r="J53" i="5"/>
  <c r="I53" i="5"/>
  <c r="H53" i="5"/>
  <c r="G53" i="5"/>
  <c r="F53" i="5"/>
  <c r="E53" i="5"/>
  <c r="D53" i="5"/>
  <c r="C53" i="5"/>
  <c r="J52" i="5"/>
  <c r="I52" i="5"/>
  <c r="H52" i="5"/>
  <c r="G52" i="5"/>
  <c r="F52" i="5"/>
  <c r="E52" i="5"/>
  <c r="D52" i="5"/>
  <c r="C52" i="5"/>
  <c r="J51" i="5"/>
  <c r="I51" i="5"/>
  <c r="H51" i="5"/>
  <c r="G51" i="5"/>
  <c r="F51" i="5"/>
  <c r="E51" i="5"/>
  <c r="D51" i="5"/>
  <c r="C51" i="5"/>
  <c r="J50" i="5"/>
  <c r="J49" i="5" s="1"/>
  <c r="I50" i="5"/>
  <c r="I49" i="5" s="1"/>
  <c r="H50" i="5"/>
  <c r="H49" i="5" s="1"/>
  <c r="G50" i="5"/>
  <c r="G49" i="5" s="1"/>
  <c r="F50" i="5"/>
  <c r="F49" i="5" s="1"/>
  <c r="E50" i="5"/>
  <c r="E49" i="5" s="1"/>
  <c r="D50" i="5"/>
  <c r="D49" i="5" s="1"/>
  <c r="C50" i="5"/>
  <c r="C49" i="5" s="1"/>
  <c r="I3" i="14"/>
  <c r="J125" i="14" s="1"/>
  <c r="G3" i="14"/>
  <c r="G150" i="14" s="1"/>
  <c r="E3" i="14"/>
  <c r="F135" i="14" s="1"/>
  <c r="C3" i="14"/>
  <c r="C150" i="14" s="1"/>
  <c r="M103" i="9"/>
  <c r="N103" i="9"/>
  <c r="E136" i="14"/>
  <c r="O103" i="9"/>
  <c r="H136" i="14"/>
  <c r="M104" i="9"/>
  <c r="N104" i="9"/>
  <c r="O104" i="9"/>
  <c r="M105" i="9"/>
  <c r="C138" i="14"/>
  <c r="N105" i="9"/>
  <c r="F138" i="14"/>
  <c r="O105" i="9"/>
  <c r="M106" i="9"/>
  <c r="C139" i="14"/>
  <c r="N106" i="9"/>
  <c r="O106" i="9"/>
  <c r="M107" i="9"/>
  <c r="C140" i="14"/>
  <c r="N107" i="9"/>
  <c r="O107" i="9"/>
  <c r="D141" i="14"/>
  <c r="N108" i="9"/>
  <c r="O108" i="9"/>
  <c r="G141" i="14"/>
  <c r="H141" i="14"/>
  <c r="E142" i="14"/>
  <c r="F142" i="14"/>
  <c r="G142" i="14"/>
  <c r="E143" i="14"/>
  <c r="F143" i="14"/>
  <c r="G143" i="14"/>
  <c r="J143" i="14"/>
  <c r="I134" i="14"/>
  <c r="O101" i="9"/>
  <c r="H134" i="14"/>
  <c r="N101" i="9"/>
  <c r="F134" i="14"/>
  <c r="E134" i="14"/>
  <c r="M101" i="9"/>
  <c r="D134" i="14"/>
  <c r="C134" i="14"/>
  <c r="I133" i="14"/>
  <c r="O100" i="9"/>
  <c r="H133" i="14"/>
  <c r="N100" i="9"/>
  <c r="F133" i="14"/>
  <c r="E133" i="14"/>
  <c r="M100" i="9"/>
  <c r="D133" i="14"/>
  <c r="C133" i="14"/>
  <c r="I131" i="14"/>
  <c r="O98" i="9"/>
  <c r="H131" i="14"/>
  <c r="N98" i="9"/>
  <c r="F131" i="14"/>
  <c r="E131" i="14"/>
  <c r="M98" i="9"/>
  <c r="D131" i="14"/>
  <c r="C131" i="14"/>
  <c r="J130" i="14"/>
  <c r="H130" i="14"/>
  <c r="G130" i="14"/>
  <c r="F130" i="14"/>
  <c r="E130" i="14"/>
  <c r="D130" i="14"/>
  <c r="C130" i="14"/>
  <c r="J129" i="14"/>
  <c r="H129" i="14"/>
  <c r="G129" i="14"/>
  <c r="F129" i="14"/>
  <c r="E129" i="14"/>
  <c r="D129" i="14"/>
  <c r="C129" i="14"/>
  <c r="J128" i="14"/>
  <c r="H128" i="14"/>
  <c r="G128" i="14"/>
  <c r="F128" i="14"/>
  <c r="E128" i="14"/>
  <c r="M95" i="9"/>
  <c r="D128" i="14"/>
  <c r="C128" i="14"/>
  <c r="I127" i="14"/>
  <c r="H127" i="14"/>
  <c r="G127" i="14"/>
  <c r="F127" i="14"/>
  <c r="E127" i="14"/>
  <c r="M94" i="9"/>
  <c r="D127" i="14"/>
  <c r="J126" i="14"/>
  <c r="I126" i="14"/>
  <c r="H126" i="14"/>
  <c r="G126" i="14"/>
  <c r="F126" i="14"/>
  <c r="E126" i="14"/>
  <c r="M93" i="9"/>
  <c r="C126" i="14"/>
  <c r="J124" i="14"/>
  <c r="I124" i="14"/>
  <c r="H124" i="14"/>
  <c r="G124" i="14"/>
  <c r="F124" i="14"/>
  <c r="E124" i="14"/>
  <c r="M92" i="9"/>
  <c r="D124" i="14"/>
  <c r="C124" i="14"/>
  <c r="M88" i="9"/>
  <c r="D120" i="14"/>
  <c r="E120" i="14"/>
  <c r="F120" i="14"/>
  <c r="G120" i="14"/>
  <c r="H120" i="14"/>
  <c r="I120" i="14"/>
  <c r="J120" i="14"/>
  <c r="M89" i="9"/>
  <c r="C121" i="14"/>
  <c r="D121" i="14"/>
  <c r="E121" i="14"/>
  <c r="F121" i="14"/>
  <c r="G121" i="14"/>
  <c r="H121" i="14"/>
  <c r="I121" i="14"/>
  <c r="J121" i="14"/>
  <c r="M90" i="9"/>
  <c r="C122" i="14"/>
  <c r="D122" i="14"/>
  <c r="E122" i="14"/>
  <c r="F122" i="14"/>
  <c r="G122" i="14"/>
  <c r="H122" i="14"/>
  <c r="I122" i="14"/>
  <c r="J122" i="14"/>
  <c r="J119" i="14"/>
  <c r="I119" i="14"/>
  <c r="H119" i="14"/>
  <c r="G119" i="14"/>
  <c r="F119" i="14"/>
  <c r="E119" i="14"/>
  <c r="M87" i="9"/>
  <c r="D119" i="14"/>
  <c r="C119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J118" i="14"/>
  <c r="I118" i="14"/>
  <c r="H118" i="14"/>
  <c r="G118" i="14"/>
  <c r="F118" i="14"/>
  <c r="E118" i="14"/>
  <c r="E6" i="4"/>
  <c r="D6" i="4"/>
  <c r="D19" i="4" s="1"/>
  <c r="C6" i="4"/>
  <c r="C19" i="4" s="1"/>
  <c r="B6" i="4"/>
  <c r="B34" i="4" s="1"/>
  <c r="J57" i="11"/>
  <c r="J47" i="11" s="1"/>
  <c r="J68" i="11"/>
  <c r="J49" i="11" s="1"/>
  <c r="J48" i="11"/>
  <c r="J51" i="11"/>
  <c r="J53" i="11"/>
  <c r="J40" i="11"/>
  <c r="J43" i="11"/>
  <c r="K57" i="11"/>
  <c r="K49" i="11" s="1"/>
  <c r="K68" i="11"/>
  <c r="K48" i="11"/>
  <c r="K52" i="11"/>
  <c r="K40" i="11"/>
  <c r="K43" i="11"/>
  <c r="H57" i="11"/>
  <c r="H46" i="11" s="1"/>
  <c r="H68" i="11"/>
  <c r="H48" i="11"/>
  <c r="H40" i="11"/>
  <c r="H43" i="11"/>
  <c r="I57" i="11"/>
  <c r="I49" i="11" s="1"/>
  <c r="I68" i="11"/>
  <c r="I52" i="11"/>
  <c r="I40" i="11"/>
  <c r="I43" i="11"/>
  <c r="F57" i="11"/>
  <c r="F49" i="11" s="1"/>
  <c r="F68" i="11"/>
  <c r="F40" i="11"/>
  <c r="F43" i="11"/>
  <c r="G57" i="11"/>
  <c r="G68" i="11"/>
  <c r="G52" i="11"/>
  <c r="G40" i="11"/>
  <c r="G43" i="11"/>
  <c r="D57" i="11"/>
  <c r="D68" i="11"/>
  <c r="D48" i="11" s="1"/>
  <c r="D40" i="11"/>
  <c r="D43" i="11"/>
  <c r="E57" i="11"/>
  <c r="E49" i="11" s="1"/>
  <c r="E68" i="11"/>
  <c r="E52" i="11"/>
  <c r="E40" i="11"/>
  <c r="E43" i="11"/>
  <c r="B37" i="4"/>
  <c r="E39" i="4"/>
  <c r="B33" i="4"/>
  <c r="F5" i="11"/>
  <c r="G5" i="11"/>
  <c r="H5" i="11"/>
  <c r="I5" i="11"/>
  <c r="J5" i="11"/>
  <c r="K5" i="11"/>
  <c r="F16" i="11"/>
  <c r="G16" i="11"/>
  <c r="H16" i="11"/>
  <c r="I16" i="11"/>
  <c r="J16" i="11"/>
  <c r="K16" i="11"/>
  <c r="C11" i="4"/>
  <c r="F22" i="11"/>
  <c r="G22" i="11"/>
  <c r="H22" i="11"/>
  <c r="I22" i="11"/>
  <c r="J22" i="11"/>
  <c r="K22" i="11"/>
  <c r="J2" i="11"/>
  <c r="K2" i="11"/>
  <c r="H2" i="11"/>
  <c r="I2" i="11"/>
  <c r="F2" i="11"/>
  <c r="G2" i="11"/>
  <c r="D5" i="11"/>
  <c r="E5" i="11"/>
  <c r="D16" i="11"/>
  <c r="E16" i="11"/>
  <c r="D22" i="11"/>
  <c r="E22" i="11"/>
  <c r="D2" i="11"/>
  <c r="E2" i="11"/>
  <c r="B28" i="4"/>
  <c r="E27" i="4"/>
  <c r="D25" i="4"/>
  <c r="C30" i="4"/>
  <c r="B25" i="4"/>
  <c r="D123" i="5"/>
  <c r="D124" i="5"/>
  <c r="D125" i="5"/>
  <c r="D126" i="5"/>
  <c r="D128" i="5"/>
  <c r="D130" i="5"/>
  <c r="D131" i="5"/>
  <c r="D132" i="5"/>
  <c r="D133" i="5"/>
  <c r="D134" i="5"/>
  <c r="D135" i="5"/>
  <c r="D137" i="5"/>
  <c r="D138" i="5"/>
  <c r="D139" i="5"/>
  <c r="D140" i="5"/>
  <c r="D141" i="5"/>
  <c r="D142" i="5"/>
  <c r="D143" i="5"/>
  <c r="D144" i="5"/>
  <c r="D145" i="5"/>
  <c r="D146" i="5"/>
  <c r="D147" i="5"/>
  <c r="E123" i="5"/>
  <c r="E124" i="5"/>
  <c r="E125" i="5"/>
  <c r="E126" i="5"/>
  <c r="E128" i="5"/>
  <c r="E130" i="5"/>
  <c r="E131" i="5"/>
  <c r="E132" i="5"/>
  <c r="E133" i="5"/>
  <c r="E134" i="5"/>
  <c r="E135" i="5"/>
  <c r="E137" i="5"/>
  <c r="E138" i="5"/>
  <c r="E139" i="5"/>
  <c r="E140" i="5"/>
  <c r="E141" i="5"/>
  <c r="E142" i="5"/>
  <c r="E143" i="5"/>
  <c r="E144" i="5"/>
  <c r="E145" i="5"/>
  <c r="E146" i="5"/>
  <c r="E147" i="5"/>
  <c r="F123" i="5"/>
  <c r="F124" i="5"/>
  <c r="F125" i="5"/>
  <c r="F126" i="5"/>
  <c r="F128" i="5"/>
  <c r="F130" i="5"/>
  <c r="F131" i="5"/>
  <c r="F132" i="5"/>
  <c r="F133" i="5"/>
  <c r="F134" i="5"/>
  <c r="F135" i="5"/>
  <c r="F137" i="5"/>
  <c r="F138" i="5"/>
  <c r="F139" i="5"/>
  <c r="F140" i="5"/>
  <c r="F141" i="5"/>
  <c r="F142" i="5"/>
  <c r="F143" i="5"/>
  <c r="F144" i="5"/>
  <c r="F145" i="5"/>
  <c r="F146" i="5"/>
  <c r="F147" i="5"/>
  <c r="G123" i="5"/>
  <c r="G124" i="5"/>
  <c r="G125" i="5"/>
  <c r="G126" i="5"/>
  <c r="G128" i="5"/>
  <c r="G130" i="5"/>
  <c r="G131" i="5"/>
  <c r="G132" i="5"/>
  <c r="G133" i="5"/>
  <c r="G134" i="5"/>
  <c r="G135" i="5"/>
  <c r="G137" i="5"/>
  <c r="G138" i="5"/>
  <c r="G139" i="5"/>
  <c r="G140" i="5"/>
  <c r="G141" i="5"/>
  <c r="G142" i="5"/>
  <c r="G143" i="5"/>
  <c r="G144" i="5"/>
  <c r="G145" i="5"/>
  <c r="G146" i="5"/>
  <c r="G147" i="5"/>
  <c r="H123" i="5"/>
  <c r="H124" i="5"/>
  <c r="H125" i="5"/>
  <c r="H126" i="5"/>
  <c r="H128" i="5"/>
  <c r="H130" i="5"/>
  <c r="H131" i="5"/>
  <c r="H132" i="5"/>
  <c r="H133" i="5"/>
  <c r="H134" i="5"/>
  <c r="H135" i="5"/>
  <c r="H137" i="5"/>
  <c r="H138" i="5"/>
  <c r="H139" i="5"/>
  <c r="H140" i="5"/>
  <c r="H141" i="5"/>
  <c r="H142" i="5"/>
  <c r="H143" i="5"/>
  <c r="H144" i="5"/>
  <c r="H145" i="5"/>
  <c r="H146" i="5"/>
  <c r="H147" i="5"/>
  <c r="I123" i="5"/>
  <c r="I124" i="5"/>
  <c r="I125" i="5"/>
  <c r="I126" i="5"/>
  <c r="I128" i="5"/>
  <c r="I130" i="5"/>
  <c r="I131" i="5"/>
  <c r="I132" i="5"/>
  <c r="I133" i="5"/>
  <c r="I134" i="5"/>
  <c r="I135" i="5"/>
  <c r="I137" i="5"/>
  <c r="I138" i="5"/>
  <c r="I139" i="5"/>
  <c r="I140" i="5"/>
  <c r="I141" i="5"/>
  <c r="I142" i="5"/>
  <c r="I143" i="5"/>
  <c r="I144" i="5"/>
  <c r="I145" i="5"/>
  <c r="I146" i="5"/>
  <c r="I147" i="5"/>
  <c r="J123" i="5"/>
  <c r="J124" i="5"/>
  <c r="J125" i="5"/>
  <c r="J126" i="5"/>
  <c r="J128" i="5"/>
  <c r="J130" i="5"/>
  <c r="J131" i="5"/>
  <c r="J132" i="5"/>
  <c r="J133" i="5"/>
  <c r="J134" i="5"/>
  <c r="J135" i="5"/>
  <c r="J137" i="5"/>
  <c r="J138" i="5"/>
  <c r="J139" i="5"/>
  <c r="J140" i="5"/>
  <c r="J141" i="5"/>
  <c r="J142" i="5"/>
  <c r="J143" i="5"/>
  <c r="J144" i="5"/>
  <c r="J145" i="5"/>
  <c r="J146" i="5"/>
  <c r="J147" i="5"/>
  <c r="C123" i="5"/>
  <c r="C124" i="5"/>
  <c r="C125" i="5"/>
  <c r="C126" i="5"/>
  <c r="C128" i="5"/>
  <c r="C130" i="5"/>
  <c r="C131" i="5"/>
  <c r="C132" i="5"/>
  <c r="C133" i="5"/>
  <c r="C134" i="5"/>
  <c r="C135" i="5"/>
  <c r="C137" i="5"/>
  <c r="C138" i="5"/>
  <c r="C139" i="5"/>
  <c r="C140" i="5"/>
  <c r="C141" i="5"/>
  <c r="C142" i="5"/>
  <c r="C143" i="5"/>
  <c r="C144" i="5"/>
  <c r="C145" i="5"/>
  <c r="C146" i="5"/>
  <c r="C147" i="5"/>
  <c r="J104" i="5"/>
  <c r="I104" i="5"/>
  <c r="H104" i="5"/>
  <c r="G104" i="5"/>
  <c r="F104" i="5"/>
  <c r="E104" i="5"/>
  <c r="D104" i="5"/>
  <c r="C104" i="5"/>
  <c r="J103" i="5"/>
  <c r="I103" i="5"/>
  <c r="H103" i="5"/>
  <c r="G103" i="5"/>
  <c r="F103" i="5"/>
  <c r="E103" i="5"/>
  <c r="D103" i="5"/>
  <c r="C103" i="5"/>
  <c r="J102" i="5"/>
  <c r="I102" i="5"/>
  <c r="H102" i="5"/>
  <c r="G102" i="5"/>
  <c r="F102" i="5"/>
  <c r="E102" i="5"/>
  <c r="D102" i="5"/>
  <c r="C102" i="5"/>
  <c r="J101" i="5"/>
  <c r="I101" i="5"/>
  <c r="H101" i="5"/>
  <c r="G101" i="5"/>
  <c r="F101" i="5"/>
  <c r="E101" i="5"/>
  <c r="D101" i="5"/>
  <c r="C101" i="5"/>
  <c r="J100" i="5"/>
  <c r="I100" i="5"/>
  <c r="H100" i="5"/>
  <c r="G100" i="5"/>
  <c r="F100" i="5"/>
  <c r="E100" i="5"/>
  <c r="D100" i="5"/>
  <c r="C100" i="5"/>
  <c r="J99" i="5"/>
  <c r="I99" i="5"/>
  <c r="H99" i="5"/>
  <c r="G99" i="5"/>
  <c r="F99" i="5"/>
  <c r="E99" i="5"/>
  <c r="D99" i="5"/>
  <c r="C99" i="5"/>
  <c r="J98" i="5"/>
  <c r="I98" i="5"/>
  <c r="H98" i="5"/>
  <c r="G98" i="5"/>
  <c r="F98" i="5"/>
  <c r="E98" i="5"/>
  <c r="D98" i="5"/>
  <c r="C98" i="5"/>
  <c r="J97" i="5"/>
  <c r="I97" i="5"/>
  <c r="H97" i="5"/>
  <c r="G97" i="5"/>
  <c r="F97" i="5"/>
  <c r="E97" i="5"/>
  <c r="D97" i="5"/>
  <c r="C97" i="5"/>
  <c r="J96" i="5"/>
  <c r="I96" i="5"/>
  <c r="H96" i="5"/>
  <c r="G96" i="5"/>
  <c r="F96" i="5"/>
  <c r="E96" i="5"/>
  <c r="D96" i="5"/>
  <c r="C96" i="5"/>
  <c r="J95" i="5"/>
  <c r="I95" i="5"/>
  <c r="H95" i="5"/>
  <c r="G95" i="5"/>
  <c r="F95" i="5"/>
  <c r="E95" i="5"/>
  <c r="D95" i="5"/>
  <c r="C95" i="5"/>
  <c r="J94" i="5"/>
  <c r="I94" i="5"/>
  <c r="H94" i="5"/>
  <c r="G94" i="5"/>
  <c r="F94" i="5"/>
  <c r="E94" i="5"/>
  <c r="D94" i="5"/>
  <c r="C94" i="5"/>
  <c r="J93" i="5"/>
  <c r="I93" i="5"/>
  <c r="H93" i="5"/>
  <c r="G93" i="5"/>
  <c r="F93" i="5"/>
  <c r="E93" i="5"/>
  <c r="D93" i="5"/>
  <c r="C93" i="5"/>
  <c r="J92" i="5"/>
  <c r="I92" i="5"/>
  <c r="H92" i="5"/>
  <c r="G92" i="5"/>
  <c r="F92" i="5"/>
  <c r="E92" i="5"/>
  <c r="D92" i="5"/>
  <c r="C92" i="5"/>
  <c r="J91" i="5"/>
  <c r="I91" i="5"/>
  <c r="H91" i="5"/>
  <c r="G91" i="5"/>
  <c r="F91" i="5"/>
  <c r="E91" i="5"/>
  <c r="D91" i="5"/>
  <c r="C91" i="5"/>
  <c r="J90" i="5"/>
  <c r="I90" i="5"/>
  <c r="H90" i="5"/>
  <c r="G90" i="5"/>
  <c r="F90" i="5"/>
  <c r="E90" i="5"/>
  <c r="D90" i="5"/>
  <c r="C90" i="5"/>
  <c r="J89" i="5"/>
  <c r="I89" i="5"/>
  <c r="H89" i="5"/>
  <c r="G89" i="5"/>
  <c r="F89" i="5"/>
  <c r="E89" i="5"/>
  <c r="D89" i="5"/>
  <c r="C89" i="5"/>
  <c r="J88" i="5"/>
  <c r="I88" i="5"/>
  <c r="H88" i="5"/>
  <c r="G88" i="5"/>
  <c r="F88" i="5"/>
  <c r="E88" i="5"/>
  <c r="D88" i="5"/>
  <c r="C88" i="5"/>
  <c r="J87" i="5"/>
  <c r="I87" i="5"/>
  <c r="H87" i="5"/>
  <c r="G87" i="5"/>
  <c r="F87" i="5"/>
  <c r="E87" i="5"/>
  <c r="D87" i="5"/>
  <c r="C87" i="5"/>
  <c r="J86" i="5"/>
  <c r="I86" i="5"/>
  <c r="H86" i="5"/>
  <c r="G86" i="5"/>
  <c r="F86" i="5"/>
  <c r="E86" i="5"/>
  <c r="D86" i="5"/>
  <c r="C86" i="5"/>
  <c r="J85" i="5"/>
  <c r="I85" i="5"/>
  <c r="H85" i="5"/>
  <c r="G85" i="5"/>
  <c r="F85" i="5"/>
  <c r="E85" i="5"/>
  <c r="D85" i="5"/>
  <c r="C85" i="5"/>
  <c r="J84" i="5"/>
  <c r="I84" i="5"/>
  <c r="H84" i="5"/>
  <c r="G84" i="5"/>
  <c r="F84" i="5"/>
  <c r="E84" i="5"/>
  <c r="D84" i="5"/>
  <c r="C84" i="5"/>
  <c r="J83" i="5"/>
  <c r="I83" i="5"/>
  <c r="H83" i="5"/>
  <c r="G83" i="5"/>
  <c r="F83" i="5"/>
  <c r="E83" i="5"/>
  <c r="D83" i="5"/>
  <c r="C83" i="5"/>
  <c r="J82" i="5"/>
  <c r="I82" i="5"/>
  <c r="H82" i="5"/>
  <c r="G82" i="5"/>
  <c r="F82" i="5"/>
  <c r="E82" i="5"/>
  <c r="D82" i="5"/>
  <c r="C82" i="5"/>
  <c r="J81" i="5"/>
  <c r="I81" i="5"/>
  <c r="H81" i="5"/>
  <c r="G81" i="5"/>
  <c r="F81" i="5"/>
  <c r="E81" i="5"/>
  <c r="D81" i="5"/>
  <c r="C81" i="5"/>
  <c r="J80" i="5"/>
  <c r="I80" i="5"/>
  <c r="H80" i="5"/>
  <c r="G80" i="5"/>
  <c r="F80" i="5"/>
  <c r="E80" i="5"/>
  <c r="D80" i="5"/>
  <c r="C80" i="5"/>
  <c r="J79" i="5"/>
  <c r="I79" i="5"/>
  <c r="H79" i="5"/>
  <c r="G79" i="5"/>
  <c r="F79" i="5"/>
  <c r="E79" i="5"/>
  <c r="D79" i="5"/>
  <c r="C79" i="5"/>
  <c r="J78" i="5"/>
  <c r="I78" i="5"/>
  <c r="H78" i="5"/>
  <c r="G78" i="5"/>
  <c r="F78" i="5"/>
  <c r="E78" i="5"/>
  <c r="D78" i="5"/>
  <c r="C78" i="5"/>
  <c r="J77" i="5"/>
  <c r="I77" i="5"/>
  <c r="H77" i="5"/>
  <c r="G77" i="5"/>
  <c r="F77" i="5"/>
  <c r="E77" i="5"/>
  <c r="D77" i="5"/>
  <c r="C77" i="5"/>
  <c r="J76" i="5"/>
  <c r="I76" i="5"/>
  <c r="H76" i="5"/>
  <c r="G76" i="5"/>
  <c r="F76" i="5"/>
  <c r="E76" i="5"/>
  <c r="D76" i="5"/>
  <c r="C76" i="5"/>
  <c r="J75" i="5"/>
  <c r="I75" i="5"/>
  <c r="H75" i="5"/>
  <c r="G75" i="5"/>
  <c r="F75" i="5"/>
  <c r="E75" i="5"/>
  <c r="D75" i="5"/>
  <c r="C75" i="5"/>
  <c r="J74" i="5"/>
  <c r="I74" i="5"/>
  <c r="H74" i="5"/>
  <c r="G74" i="5"/>
  <c r="F74" i="5"/>
  <c r="E74" i="5"/>
  <c r="D74" i="5"/>
  <c r="C74" i="5"/>
  <c r="J73" i="5"/>
  <c r="I73" i="5"/>
  <c r="H73" i="5"/>
  <c r="G73" i="5"/>
  <c r="F73" i="5"/>
  <c r="E73" i="5"/>
  <c r="D73" i="5"/>
  <c r="C73" i="5"/>
  <c r="J72" i="5"/>
  <c r="I72" i="5"/>
  <c r="H72" i="5"/>
  <c r="G72" i="5"/>
  <c r="F72" i="5"/>
  <c r="E72" i="5"/>
  <c r="D72" i="5"/>
  <c r="C72" i="5"/>
  <c r="J71" i="5"/>
  <c r="I71" i="5"/>
  <c r="H71" i="5"/>
  <c r="G71" i="5"/>
  <c r="F71" i="5"/>
  <c r="E71" i="5"/>
  <c r="D71" i="5"/>
  <c r="C71" i="5"/>
  <c r="J70" i="5"/>
  <c r="I70" i="5"/>
  <c r="H70" i="5"/>
  <c r="G70" i="5"/>
  <c r="F70" i="5"/>
  <c r="E70" i="5"/>
  <c r="D70" i="5"/>
  <c r="C70" i="5"/>
  <c r="C6" i="2"/>
  <c r="C26" i="2" s="1"/>
  <c r="C36" i="2" s="1"/>
  <c r="D6" i="2"/>
  <c r="D26" i="2" s="1"/>
  <c r="D36" i="2" s="1"/>
  <c r="E6" i="2"/>
  <c r="E26" i="2" s="1"/>
  <c r="E36" i="2" s="1"/>
  <c r="F6" i="2"/>
  <c r="F26" i="2" s="1"/>
  <c r="F36" i="2" s="1"/>
  <c r="G6" i="2"/>
  <c r="G26" i="2" s="1"/>
  <c r="G36" i="2" s="1"/>
  <c r="H6" i="2"/>
  <c r="H26" i="2" s="1"/>
  <c r="H36" i="2" s="1"/>
  <c r="I6" i="2"/>
  <c r="I26" i="2" s="1"/>
  <c r="I36" i="2" s="1"/>
  <c r="B6" i="2"/>
  <c r="B26" i="2" s="1"/>
  <c r="B36" i="2" s="1"/>
  <c r="D44" i="2"/>
  <c r="E44" i="2"/>
  <c r="F44" i="2"/>
  <c r="H44" i="2"/>
  <c r="I44" i="2"/>
  <c r="B44" i="2"/>
  <c r="C6" i="3"/>
  <c r="C36" i="3" s="1"/>
  <c r="D6" i="3"/>
  <c r="D36" i="3" s="1"/>
  <c r="E6" i="3"/>
  <c r="E36" i="3" s="1"/>
  <c r="B6" i="3"/>
  <c r="B36" i="3" s="1"/>
  <c r="C291" i="16"/>
  <c r="O10" i="9"/>
  <c r="F291" i="16"/>
  <c r="D291" i="16"/>
  <c r="C222" i="16"/>
  <c r="M10" i="9"/>
  <c r="F222" i="16"/>
  <c r="D222" i="16"/>
  <c r="I23" i="16"/>
  <c r="G23" i="16"/>
  <c r="E23" i="16"/>
  <c r="E25" i="16" s="1"/>
  <c r="C23" i="16"/>
  <c r="M26" i="9"/>
  <c r="M31" i="9"/>
  <c r="M32" i="9"/>
  <c r="M33" i="9"/>
  <c r="M34" i="9"/>
  <c r="M35" i="9"/>
  <c r="D44" i="14"/>
  <c r="C20" i="2" s="1"/>
  <c r="N26" i="9"/>
  <c r="N30" i="9"/>
  <c r="N31" i="9"/>
  <c r="N32" i="9"/>
  <c r="N33" i="9"/>
  <c r="N34" i="9"/>
  <c r="N35" i="9"/>
  <c r="N10" i="9"/>
  <c r="E44" i="14"/>
  <c r="D20" i="2" s="1"/>
  <c r="F44" i="14"/>
  <c r="E20" i="2" s="1"/>
  <c r="O26" i="9"/>
  <c r="O30" i="9"/>
  <c r="O31" i="9"/>
  <c r="O32" i="9"/>
  <c r="O33" i="9"/>
  <c r="O34" i="9"/>
  <c r="O35" i="9"/>
  <c r="G44" i="14"/>
  <c r="F20" i="2" s="1"/>
  <c r="H44" i="14"/>
  <c r="G20" i="2" s="1"/>
  <c r="I44" i="14"/>
  <c r="H20" i="2" s="1"/>
  <c r="J44" i="14"/>
  <c r="I20" i="2" s="1"/>
  <c r="C44" i="14"/>
  <c r="B20" i="2" s="1"/>
  <c r="O6" i="9"/>
  <c r="H12" i="14"/>
  <c r="O7" i="9"/>
  <c r="H13" i="14"/>
  <c r="O9" i="9"/>
  <c r="H14" i="14"/>
  <c r="J46" i="5"/>
  <c r="I46" i="5"/>
  <c r="H46" i="5"/>
  <c r="G46" i="5"/>
  <c r="F46" i="5"/>
  <c r="E46" i="5"/>
  <c r="D46" i="5"/>
  <c r="C46" i="5"/>
  <c r="AG57" i="11"/>
  <c r="AG68" i="11"/>
  <c r="AG46" i="11" s="1"/>
  <c r="AG49" i="11"/>
  <c r="AG53" i="11"/>
  <c r="AG40" i="11"/>
  <c r="AG43" i="11"/>
  <c r="AF57" i="11"/>
  <c r="AF47" i="11" s="1"/>
  <c r="AF68" i="11"/>
  <c r="AF46" i="11"/>
  <c r="AF48" i="11"/>
  <c r="AF50" i="11"/>
  <c r="AF52" i="11"/>
  <c r="AF54" i="11"/>
  <c r="AF40" i="11"/>
  <c r="AF43" i="11"/>
  <c r="AE57" i="11"/>
  <c r="AE46" i="11" s="1"/>
  <c r="AE68" i="11"/>
  <c r="AE48" i="11" s="1"/>
  <c r="AE47" i="11"/>
  <c r="AE49" i="11"/>
  <c r="AE51" i="11"/>
  <c r="AE53" i="11"/>
  <c r="AE55" i="11"/>
  <c r="AE40" i="11"/>
  <c r="AE43" i="11"/>
  <c r="AD57" i="11"/>
  <c r="AD49" i="11" s="1"/>
  <c r="AD68" i="11"/>
  <c r="AD48" i="11"/>
  <c r="AD52" i="11"/>
  <c r="AD40" i="11"/>
  <c r="AD43" i="11"/>
  <c r="AC57" i="11"/>
  <c r="AC68" i="11"/>
  <c r="AC46" i="11" s="1"/>
  <c r="AC49" i="11"/>
  <c r="AC53" i="11"/>
  <c r="AC40" i="11"/>
  <c r="AC43" i="11"/>
  <c r="AB57" i="11"/>
  <c r="AB47" i="11" s="1"/>
  <c r="AB68" i="11"/>
  <c r="AB46" i="11"/>
  <c r="AB48" i="11"/>
  <c r="AB50" i="11"/>
  <c r="AB52" i="11"/>
  <c r="AB54" i="11"/>
  <c r="AB40" i="11"/>
  <c r="AB43" i="11"/>
  <c r="AA57" i="11"/>
  <c r="AA46" i="11" s="1"/>
  <c r="AA68" i="11"/>
  <c r="AA48" i="11" s="1"/>
  <c r="AA47" i="11"/>
  <c r="AA49" i="11"/>
  <c r="AA51" i="11"/>
  <c r="AA53" i="11"/>
  <c r="AA55" i="11"/>
  <c r="AA40" i="11"/>
  <c r="AA43" i="11"/>
  <c r="Z57" i="11"/>
  <c r="Z49" i="11" s="1"/>
  <c r="Z68" i="11"/>
  <c r="Z48" i="11"/>
  <c r="Z52" i="11"/>
  <c r="Z40" i="11"/>
  <c r="Z43" i="11"/>
  <c r="Y57" i="11"/>
  <c r="Y68" i="11"/>
  <c r="Y46" i="11" s="1"/>
  <c r="Y49" i="11"/>
  <c r="Y53" i="11"/>
  <c r="Y40" i="11"/>
  <c r="Y43" i="11"/>
  <c r="X57" i="11"/>
  <c r="X47" i="11" s="1"/>
  <c r="X68" i="11"/>
  <c r="X46" i="11"/>
  <c r="X48" i="11"/>
  <c r="X50" i="11"/>
  <c r="X52" i="11"/>
  <c r="X54" i="11"/>
  <c r="X40" i="11"/>
  <c r="X43" i="11"/>
  <c r="W57" i="11"/>
  <c r="W46" i="11" s="1"/>
  <c r="W68" i="11"/>
  <c r="W48" i="11" s="1"/>
  <c r="W47" i="11"/>
  <c r="W49" i="11"/>
  <c r="W51" i="11"/>
  <c r="W53" i="11"/>
  <c r="W55" i="11"/>
  <c r="W40" i="11"/>
  <c r="W43" i="11"/>
  <c r="V57" i="11"/>
  <c r="V49" i="11" s="1"/>
  <c r="V68" i="11"/>
  <c r="V48" i="11"/>
  <c r="V52" i="11"/>
  <c r="V40" i="11"/>
  <c r="V43" i="11"/>
  <c r="U68" i="11"/>
  <c r="U46" i="11" s="1"/>
  <c r="U49" i="11"/>
  <c r="J37" i="14" s="1"/>
  <c r="U53" i="11"/>
  <c r="J41" i="14" s="1"/>
  <c r="U40" i="11"/>
  <c r="U43" i="11"/>
  <c r="J35" i="5" s="1"/>
  <c r="T57" i="11"/>
  <c r="T49" i="11" s="1"/>
  <c r="T68" i="11"/>
  <c r="T46" i="11"/>
  <c r="I34" i="14" s="1"/>
  <c r="T50" i="11"/>
  <c r="I38" i="14" s="1"/>
  <c r="T54" i="11"/>
  <c r="I42" i="14" s="1"/>
  <c r="T40" i="11"/>
  <c r="I35" i="5" s="1"/>
  <c r="T43" i="11"/>
  <c r="S57" i="11"/>
  <c r="S68" i="11"/>
  <c r="S46" i="11" s="1"/>
  <c r="H34" i="14" s="1"/>
  <c r="S49" i="11"/>
  <c r="H37" i="14" s="1"/>
  <c r="S53" i="11"/>
  <c r="H41" i="14" s="1"/>
  <c r="S40" i="11"/>
  <c r="S43" i="11"/>
  <c r="H35" i="5" s="1"/>
  <c r="R57" i="11"/>
  <c r="R47" i="11" s="1"/>
  <c r="G35" i="14" s="1"/>
  <c r="R68" i="11"/>
  <c r="R49" i="11" s="1"/>
  <c r="G37" i="14" s="1"/>
  <c r="R48" i="11"/>
  <c r="G36" i="14" s="1"/>
  <c r="R51" i="11"/>
  <c r="G39" i="14" s="1"/>
  <c r="R53" i="11"/>
  <c r="G41" i="14" s="1"/>
  <c r="R40" i="11"/>
  <c r="R43" i="11"/>
  <c r="Q57" i="11"/>
  <c r="Q49" i="11" s="1"/>
  <c r="Q68" i="11"/>
  <c r="Q50" i="11"/>
  <c r="F38" i="14" s="1"/>
  <c r="Q40" i="11"/>
  <c r="F35" i="5" s="1"/>
  <c r="Q43" i="11"/>
  <c r="P57" i="11"/>
  <c r="P46" i="11" s="1"/>
  <c r="E34" i="14" s="1"/>
  <c r="P68" i="11"/>
  <c r="P48" i="11" s="1"/>
  <c r="E36" i="14" s="1"/>
  <c r="P47" i="11"/>
  <c r="E35" i="14" s="1"/>
  <c r="P49" i="11"/>
  <c r="E37" i="14" s="1"/>
  <c r="P51" i="11"/>
  <c r="E39" i="14" s="1"/>
  <c r="P53" i="11"/>
  <c r="E41" i="14" s="1"/>
  <c r="P55" i="11"/>
  <c r="E43" i="14" s="1"/>
  <c r="P40" i="11"/>
  <c r="E35" i="5" s="1"/>
  <c r="P43" i="11"/>
  <c r="O57" i="11"/>
  <c r="O68" i="11"/>
  <c r="O47" i="11" s="1"/>
  <c r="D35" i="14" s="1"/>
  <c r="O51" i="11"/>
  <c r="D39" i="14" s="1"/>
  <c r="O40" i="11"/>
  <c r="O43" i="11"/>
  <c r="N57" i="11"/>
  <c r="N47" i="11" s="1"/>
  <c r="C35" i="14" s="1"/>
  <c r="N68" i="11"/>
  <c r="N46" i="11"/>
  <c r="C34" i="14" s="1"/>
  <c r="N48" i="11"/>
  <c r="C36" i="14" s="1"/>
  <c r="N50" i="11"/>
  <c r="C38" i="14" s="1"/>
  <c r="N52" i="11"/>
  <c r="C40" i="14" s="1"/>
  <c r="N54" i="11"/>
  <c r="C42" i="14" s="1"/>
  <c r="N40" i="11"/>
  <c r="N43" i="11"/>
  <c r="M57" i="11"/>
  <c r="M46" i="11" s="1"/>
  <c r="M68" i="11"/>
  <c r="M40" i="11"/>
  <c r="M43" i="11"/>
  <c r="L57" i="11"/>
  <c r="L46" i="11" s="1"/>
  <c r="L68" i="11"/>
  <c r="L47" i="11"/>
  <c r="L49" i="11"/>
  <c r="L52" i="11"/>
  <c r="L55" i="11"/>
  <c r="L40" i="11"/>
  <c r="L43" i="11"/>
  <c r="C35" i="5" s="1"/>
  <c r="C34" i="5"/>
  <c r="J34" i="5"/>
  <c r="I34" i="5"/>
  <c r="H34" i="5"/>
  <c r="G34" i="5"/>
  <c r="F34" i="5"/>
  <c r="E34" i="5"/>
  <c r="D34" i="5"/>
  <c r="J33" i="5"/>
  <c r="I33" i="5"/>
  <c r="H33" i="5"/>
  <c r="G33" i="5"/>
  <c r="F33" i="5"/>
  <c r="E33" i="5"/>
  <c r="D33" i="5"/>
  <c r="C33" i="5"/>
  <c r="F279" i="16"/>
  <c r="D279" i="16"/>
  <c r="C279" i="16"/>
  <c r="M7" i="9"/>
  <c r="F209" i="16"/>
  <c r="D209" i="16"/>
  <c r="H209" i="16" s="1"/>
  <c r="C209" i="16"/>
  <c r="J13" i="5"/>
  <c r="I13" i="5"/>
  <c r="H13" i="5"/>
  <c r="G13" i="5"/>
  <c r="F13" i="5"/>
  <c r="E13" i="5"/>
  <c r="D13" i="5"/>
  <c r="C13" i="5"/>
  <c r="L10" i="9"/>
  <c r="N9" i="9"/>
  <c r="M9" i="9"/>
  <c r="L9" i="9"/>
  <c r="J7" i="5"/>
  <c r="I7" i="5"/>
  <c r="F7" i="5"/>
  <c r="E7" i="5"/>
  <c r="D7" i="5"/>
  <c r="C7" i="5"/>
  <c r="AG6" i="11"/>
  <c r="AF6" i="11"/>
  <c r="AE6" i="11"/>
  <c r="AD6" i="11"/>
  <c r="AC6" i="11"/>
  <c r="AB6" i="11"/>
  <c r="AA6" i="11"/>
  <c r="Z6" i="11"/>
  <c r="Y6" i="11"/>
  <c r="X6" i="11"/>
  <c r="W6" i="11"/>
  <c r="V6" i="11"/>
  <c r="U6" i="11"/>
  <c r="T6" i="11"/>
  <c r="I7" i="14" s="1"/>
  <c r="Q6" i="11"/>
  <c r="P6" i="11"/>
  <c r="O6" i="11"/>
  <c r="D203" i="16" s="1"/>
  <c r="N6" i="11"/>
  <c r="M6" i="11"/>
  <c r="L6" i="11"/>
  <c r="K6" i="11"/>
  <c r="J6" i="11"/>
  <c r="I6" i="11"/>
  <c r="H6" i="11"/>
  <c r="G6" i="11"/>
  <c r="F6" i="11"/>
  <c r="E6" i="11"/>
  <c r="D6" i="11"/>
  <c r="D274" i="16"/>
  <c r="C274" i="16"/>
  <c r="D204" i="16"/>
  <c r="C204" i="16"/>
  <c r="J8" i="5"/>
  <c r="I8" i="5"/>
  <c r="H8" i="5"/>
  <c r="G8" i="5"/>
  <c r="F8" i="5"/>
  <c r="E8" i="5"/>
  <c r="D8" i="5"/>
  <c r="C8" i="5"/>
  <c r="K8" i="9"/>
  <c r="J8" i="9"/>
  <c r="I8" i="9"/>
  <c r="H8" i="9"/>
  <c r="G8" i="9"/>
  <c r="F8" i="9"/>
  <c r="E8" i="9"/>
  <c r="D8" i="9"/>
  <c r="L8" i="9"/>
  <c r="M8" i="9"/>
  <c r="N8" i="9"/>
  <c r="O8" i="9"/>
  <c r="F284" i="16"/>
  <c r="F282" i="16"/>
  <c r="F281" i="16"/>
  <c r="F271" i="16"/>
  <c r="G271" i="16" s="1"/>
  <c r="F214" i="16"/>
  <c r="F212" i="16"/>
  <c r="F211" i="16"/>
  <c r="F201" i="16"/>
  <c r="C210" i="16"/>
  <c r="D210" i="16"/>
  <c r="D208" i="16"/>
  <c r="C208" i="16"/>
  <c r="C203" i="16"/>
  <c r="C205" i="16"/>
  <c r="D205" i="16"/>
  <c r="C206" i="16"/>
  <c r="D206" i="16"/>
  <c r="J29" i="5"/>
  <c r="I29" i="5"/>
  <c r="H29" i="5"/>
  <c r="G29" i="5"/>
  <c r="F29" i="5"/>
  <c r="E29" i="5"/>
  <c r="D29" i="5"/>
  <c r="C29" i="5"/>
  <c r="J28" i="5"/>
  <c r="I28" i="5"/>
  <c r="H28" i="5"/>
  <c r="G28" i="5"/>
  <c r="F28" i="5"/>
  <c r="E28" i="5"/>
  <c r="D28" i="5"/>
  <c r="C28" i="5"/>
  <c r="J27" i="5"/>
  <c r="I27" i="5"/>
  <c r="H27" i="5"/>
  <c r="G27" i="5"/>
  <c r="F27" i="5"/>
  <c r="E27" i="5"/>
  <c r="D27" i="5"/>
  <c r="C27" i="5"/>
  <c r="J26" i="5"/>
  <c r="I26" i="5"/>
  <c r="H26" i="5"/>
  <c r="G26" i="5"/>
  <c r="F26" i="5"/>
  <c r="E26" i="5"/>
  <c r="D26" i="5"/>
  <c r="C26" i="5"/>
  <c r="J25" i="5"/>
  <c r="I25" i="5"/>
  <c r="H25" i="5"/>
  <c r="G25" i="5"/>
  <c r="F25" i="5"/>
  <c r="E25" i="5"/>
  <c r="D25" i="5"/>
  <c r="C25" i="5"/>
  <c r="J24" i="5"/>
  <c r="I24" i="5"/>
  <c r="H24" i="5"/>
  <c r="G24" i="5"/>
  <c r="F24" i="5"/>
  <c r="E24" i="5"/>
  <c r="D24" i="5"/>
  <c r="C24" i="5"/>
  <c r="J23" i="5"/>
  <c r="I23" i="5"/>
  <c r="H23" i="5"/>
  <c r="G23" i="5"/>
  <c r="F23" i="5"/>
  <c r="E23" i="5"/>
  <c r="D23" i="5"/>
  <c r="C23" i="5"/>
  <c r="J22" i="5"/>
  <c r="I22" i="5"/>
  <c r="H22" i="5"/>
  <c r="G22" i="5"/>
  <c r="F22" i="5"/>
  <c r="E22" i="5"/>
  <c r="D22" i="5"/>
  <c r="C22" i="5"/>
  <c r="J21" i="5"/>
  <c r="I21" i="5"/>
  <c r="H21" i="5"/>
  <c r="G21" i="5"/>
  <c r="F21" i="5"/>
  <c r="E21" i="5"/>
  <c r="D21" i="5"/>
  <c r="C21" i="5"/>
  <c r="J20" i="5"/>
  <c r="I20" i="5"/>
  <c r="H20" i="5"/>
  <c r="G20" i="5"/>
  <c r="F20" i="5"/>
  <c r="E20" i="5"/>
  <c r="D20" i="5"/>
  <c r="C20" i="5"/>
  <c r="J19" i="5"/>
  <c r="I19" i="5"/>
  <c r="H19" i="5"/>
  <c r="G19" i="5"/>
  <c r="F19" i="5"/>
  <c r="E19" i="5"/>
  <c r="D19" i="5"/>
  <c r="C19" i="5"/>
  <c r="J18" i="5"/>
  <c r="I18" i="5"/>
  <c r="H18" i="5"/>
  <c r="G18" i="5"/>
  <c r="F18" i="5"/>
  <c r="E18" i="5"/>
  <c r="D18" i="5"/>
  <c r="C18" i="5"/>
  <c r="E9" i="5"/>
  <c r="F9" i="5"/>
  <c r="G9" i="5"/>
  <c r="H9" i="5"/>
  <c r="I9" i="5"/>
  <c r="J9" i="5"/>
  <c r="E10" i="5"/>
  <c r="F10" i="5"/>
  <c r="G10" i="5"/>
  <c r="H10" i="5"/>
  <c r="I10" i="5"/>
  <c r="J10" i="5"/>
  <c r="E12" i="5"/>
  <c r="E14" i="5"/>
  <c r="F12" i="5"/>
  <c r="G12" i="5"/>
  <c r="H12" i="5"/>
  <c r="I12" i="5"/>
  <c r="I14" i="5"/>
  <c r="J12" i="5"/>
  <c r="F14" i="5"/>
  <c r="G14" i="5"/>
  <c r="H14" i="5"/>
  <c r="J14" i="5"/>
  <c r="E15" i="5"/>
  <c r="F15" i="5"/>
  <c r="G15" i="5"/>
  <c r="H15" i="5"/>
  <c r="I15" i="5"/>
  <c r="J15" i="5"/>
  <c r="E16" i="5"/>
  <c r="F16" i="5"/>
  <c r="G16" i="5"/>
  <c r="H16" i="5"/>
  <c r="I16" i="5"/>
  <c r="J16" i="5"/>
  <c r="C9" i="5"/>
  <c r="D9" i="5"/>
  <c r="C10" i="5"/>
  <c r="D10" i="5"/>
  <c r="C12" i="5"/>
  <c r="C14" i="5"/>
  <c r="D12" i="5"/>
  <c r="D14" i="5"/>
  <c r="C15" i="5"/>
  <c r="D15" i="5"/>
  <c r="C16" i="5"/>
  <c r="D16" i="5"/>
  <c r="D280" i="16"/>
  <c r="C280" i="16"/>
  <c r="D278" i="16"/>
  <c r="C278" i="16"/>
  <c r="C275" i="16"/>
  <c r="D275" i="16"/>
  <c r="C276" i="16"/>
  <c r="D276" i="16"/>
  <c r="C281" i="16"/>
  <c r="D281" i="16"/>
  <c r="C282" i="16"/>
  <c r="D282" i="16"/>
  <c r="C284" i="16"/>
  <c r="D284" i="16"/>
  <c r="D211" i="16"/>
  <c r="D212" i="16"/>
  <c r="D214" i="16"/>
  <c r="C211" i="16"/>
  <c r="C212" i="16"/>
  <c r="C214" i="16"/>
  <c r="AG16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I166" i="16"/>
  <c r="G166" i="16"/>
  <c r="E166" i="16"/>
  <c r="C166" i="16"/>
  <c r="I143" i="16"/>
  <c r="G143" i="16"/>
  <c r="E143" i="16"/>
  <c r="C143" i="16"/>
  <c r="I122" i="16"/>
  <c r="G122" i="16"/>
  <c r="E122" i="16"/>
  <c r="C122" i="16"/>
  <c r="I112" i="16"/>
  <c r="G112" i="16"/>
  <c r="E112" i="16"/>
  <c r="C112" i="16"/>
  <c r="I88" i="16"/>
  <c r="G88" i="16"/>
  <c r="E88" i="16"/>
  <c r="C88" i="16"/>
  <c r="I68" i="16"/>
  <c r="G68" i="16"/>
  <c r="E68" i="16"/>
  <c r="C68" i="16"/>
  <c r="I47" i="16"/>
  <c r="G47" i="16"/>
  <c r="E47" i="16"/>
  <c r="C47" i="16"/>
  <c r="I4" i="16"/>
  <c r="G4" i="16"/>
  <c r="E4" i="16"/>
  <c r="C4" i="16"/>
  <c r="E108" i="16"/>
  <c r="D168" i="16"/>
  <c r="I283" i="16"/>
  <c r="I108" i="16"/>
  <c r="C108" i="16"/>
  <c r="G108" i="16"/>
  <c r="C118" i="16"/>
  <c r="G118" i="16"/>
  <c r="D108" i="16"/>
  <c r="H108" i="16"/>
  <c r="D118" i="16"/>
  <c r="H118" i="16"/>
  <c r="E118" i="16"/>
  <c r="I118" i="16"/>
  <c r="F108" i="16"/>
  <c r="J108" i="16"/>
  <c r="F118" i="16"/>
  <c r="J118" i="16"/>
  <c r="N23" i="9"/>
  <c r="O23" i="9"/>
  <c r="F285" i="16"/>
  <c r="F290" i="16"/>
  <c r="P23" i="9"/>
  <c r="N6" i="9"/>
  <c r="N7" i="9"/>
  <c r="F274" i="16"/>
  <c r="F276" i="16"/>
  <c r="F273" i="16"/>
  <c r="F278" i="16"/>
  <c r="F275" i="16"/>
  <c r="F280" i="16"/>
  <c r="AG2" i="11"/>
  <c r="AF2" i="11"/>
  <c r="AE2" i="11"/>
  <c r="AD2" i="11"/>
  <c r="AC2" i="11"/>
  <c r="AB2" i="11"/>
  <c r="AA2" i="11"/>
  <c r="Z2" i="11"/>
  <c r="Y2" i="11"/>
  <c r="X2" i="11"/>
  <c r="W2" i="11"/>
  <c r="V2" i="11"/>
  <c r="T5" i="11"/>
  <c r="T2" i="11"/>
  <c r="S2" i="11"/>
  <c r="R2" i="11"/>
  <c r="D7" i="4" s="1"/>
  <c r="Q2" i="11"/>
  <c r="P2" i="11"/>
  <c r="C7" i="4" s="1"/>
  <c r="O2" i="11"/>
  <c r="D201" i="16" s="1"/>
  <c r="N2" i="11"/>
  <c r="B7" i="4" s="1"/>
  <c r="M2" i="11"/>
  <c r="L2" i="11"/>
  <c r="D271" i="16"/>
  <c r="U22" i="11"/>
  <c r="T22" i="11"/>
  <c r="S22" i="11"/>
  <c r="R22" i="11"/>
  <c r="D12" i="4" s="1"/>
  <c r="Q22" i="11"/>
  <c r="P22" i="11"/>
  <c r="O22" i="11"/>
  <c r="N22" i="11"/>
  <c r="B12" i="4" s="1"/>
  <c r="M22" i="11"/>
  <c r="L22" i="11"/>
  <c r="D283" i="16"/>
  <c r="C283" i="16"/>
  <c r="D213" i="16"/>
  <c r="H213" i="16" s="1"/>
  <c r="C213" i="16"/>
  <c r="G213" i="16" s="1"/>
  <c r="U5" i="11"/>
  <c r="Q5" i="11"/>
  <c r="P5" i="11"/>
  <c r="O5" i="11"/>
  <c r="N5" i="11"/>
  <c r="M5" i="11"/>
  <c r="L5" i="11"/>
  <c r="G21" i="9"/>
  <c r="H21" i="9"/>
  <c r="I21" i="9"/>
  <c r="J21" i="9"/>
  <c r="K21" i="9"/>
  <c r="L21" i="9"/>
  <c r="M21" i="9"/>
  <c r="N21" i="9"/>
  <c r="O21" i="9"/>
  <c r="P21" i="9"/>
  <c r="F21" i="9"/>
  <c r="E21" i="9"/>
  <c r="D21" i="9"/>
  <c r="D16" i="8"/>
  <c r="I16" i="8"/>
  <c r="K16" i="8"/>
  <c r="I3" i="2"/>
  <c r="E3" i="3"/>
  <c r="F3" i="4"/>
  <c r="M6" i="9"/>
  <c r="F203" i="16"/>
  <c r="F208" i="16"/>
  <c r="AG22" i="11"/>
  <c r="AF22" i="11"/>
  <c r="AE22" i="11"/>
  <c r="AD22" i="11"/>
  <c r="AC22" i="11"/>
  <c r="AB22" i="11"/>
  <c r="AA22" i="11"/>
  <c r="Z22" i="11"/>
  <c r="Y22" i="11"/>
  <c r="X22" i="11"/>
  <c r="AG5" i="11"/>
  <c r="AF5" i="11"/>
  <c r="AE5" i="11"/>
  <c r="AD5" i="11"/>
  <c r="AC5" i="11"/>
  <c r="AB5" i="11"/>
  <c r="AA5" i="11"/>
  <c r="Z5" i="11"/>
  <c r="Y5" i="11"/>
  <c r="X5" i="11"/>
  <c r="M23" i="9"/>
  <c r="F215" i="16"/>
  <c r="F220" i="16"/>
  <c r="D31" i="15"/>
  <c r="E22" i="15"/>
  <c r="E19" i="15"/>
  <c r="E12" i="15"/>
  <c r="E9" i="15"/>
  <c r="L90" i="9"/>
  <c r="L88" i="9"/>
  <c r="L89" i="9"/>
  <c r="I154" i="5"/>
  <c r="G154" i="5"/>
  <c r="E154" i="5"/>
  <c r="C154" i="5"/>
  <c r="F204" i="16"/>
  <c r="L108" i="9"/>
  <c r="L107" i="9"/>
  <c r="L106" i="9"/>
  <c r="L105" i="9"/>
  <c r="L6" i="9"/>
  <c r="L7" i="9"/>
  <c r="K109" i="9"/>
  <c r="K110" i="9"/>
  <c r="K108" i="9"/>
  <c r="K107" i="9"/>
  <c r="K106" i="9"/>
  <c r="K101" i="9"/>
  <c r="H98" i="9"/>
  <c r="G98" i="9"/>
  <c r="J95" i="9"/>
  <c r="I95" i="9"/>
  <c r="H95" i="9"/>
  <c r="G95" i="9"/>
  <c r="J94" i="9"/>
  <c r="I94" i="9"/>
  <c r="H94" i="9"/>
  <c r="G94" i="9"/>
  <c r="J93" i="9"/>
  <c r="I93" i="9"/>
  <c r="H93" i="9"/>
  <c r="G93" i="9"/>
  <c r="J92" i="9"/>
  <c r="I92" i="9"/>
  <c r="H92" i="9"/>
  <c r="G92" i="9"/>
  <c r="J87" i="9"/>
  <c r="I87" i="9"/>
  <c r="H87" i="9"/>
  <c r="G87" i="9"/>
  <c r="I110" i="9"/>
  <c r="H110" i="9"/>
  <c r="G110" i="9"/>
  <c r="I109" i="9"/>
  <c r="H109" i="9"/>
  <c r="G109" i="9"/>
  <c r="J108" i="9"/>
  <c r="I108" i="9"/>
  <c r="H108" i="9"/>
  <c r="G108" i="9"/>
  <c r="J107" i="9"/>
  <c r="I107" i="9"/>
  <c r="H107" i="9"/>
  <c r="G107" i="9"/>
  <c r="J106" i="9"/>
  <c r="I106" i="9"/>
  <c r="H106" i="9"/>
  <c r="G106" i="9"/>
  <c r="I101" i="9"/>
  <c r="G102" i="9"/>
  <c r="H101" i="9"/>
  <c r="G101" i="9"/>
  <c r="E100" i="9"/>
  <c r="F100" i="9"/>
  <c r="D100" i="9"/>
  <c r="E101" i="9"/>
  <c r="F101" i="9"/>
  <c r="E102" i="9"/>
  <c r="F102" i="9"/>
  <c r="E103" i="9"/>
  <c r="F103" i="9"/>
  <c r="D102" i="9"/>
  <c r="D101" i="9"/>
  <c r="E104" i="9"/>
  <c r="F104" i="9"/>
  <c r="D104" i="9"/>
  <c r="E106" i="9"/>
  <c r="F106" i="9"/>
  <c r="E107" i="9"/>
  <c r="F107" i="9"/>
  <c r="E108" i="9"/>
  <c r="F108" i="9"/>
  <c r="D106" i="9"/>
  <c r="D107" i="9"/>
  <c r="D108" i="9"/>
  <c r="E109" i="9"/>
  <c r="F109" i="9"/>
  <c r="E110" i="9"/>
  <c r="F110" i="9"/>
  <c r="D110" i="9"/>
  <c r="D109" i="9"/>
  <c r="E98" i="9"/>
  <c r="F98" i="9"/>
  <c r="D98" i="9"/>
  <c r="F95" i="9"/>
  <c r="E95" i="9"/>
  <c r="D95" i="9"/>
  <c r="F94" i="9"/>
  <c r="E94" i="9"/>
  <c r="D94" i="9"/>
  <c r="F93" i="9"/>
  <c r="E93" i="9"/>
  <c r="D93" i="9"/>
  <c r="F92" i="9"/>
  <c r="E92" i="9"/>
  <c r="D92" i="9"/>
  <c r="E87" i="9"/>
  <c r="F87" i="9"/>
  <c r="D87" i="9"/>
  <c r="G14" i="9"/>
  <c r="F20" i="9"/>
  <c r="K20" i="9"/>
  <c r="D15" i="8"/>
  <c r="I15" i="8"/>
  <c r="K15" i="8"/>
  <c r="M20" i="9"/>
  <c r="D14" i="8"/>
  <c r="I14" i="8"/>
  <c r="K14" i="8"/>
  <c r="D13" i="8"/>
  <c r="I13" i="8"/>
  <c r="K13" i="8"/>
  <c r="M18" i="9"/>
  <c r="D12" i="8"/>
  <c r="I12" i="8"/>
  <c r="K12" i="8"/>
  <c r="D11" i="8"/>
  <c r="I11" i="8"/>
  <c r="K11" i="8"/>
  <c r="M17" i="9"/>
  <c r="D10" i="8"/>
  <c r="I10" i="8"/>
  <c r="K10" i="8"/>
  <c r="D9" i="8"/>
  <c r="I9" i="8"/>
  <c r="K9" i="8"/>
  <c r="D8" i="8"/>
  <c r="I8" i="8"/>
  <c r="K8" i="8"/>
  <c r="G15" i="9"/>
  <c r="D7" i="8"/>
  <c r="I7" i="8"/>
  <c r="K7" i="8"/>
  <c r="K14" i="9"/>
  <c r="D6" i="8"/>
  <c r="I6" i="8"/>
  <c r="K6" i="8"/>
  <c r="W22" i="11"/>
  <c r="V22" i="11"/>
  <c r="G103" i="9"/>
  <c r="D103" i="9"/>
  <c r="W5" i="11"/>
  <c r="V5" i="11"/>
  <c r="S2" i="9"/>
  <c r="S1" i="9"/>
  <c r="L2" i="8"/>
  <c r="J1" i="14"/>
  <c r="I2" i="2"/>
  <c r="E2" i="3"/>
  <c r="F2" i="4"/>
  <c r="L3" i="8"/>
  <c r="J2" i="14"/>
  <c r="K103" i="9"/>
  <c r="J103" i="9"/>
  <c r="I103" i="9"/>
  <c r="H103" i="9"/>
  <c r="J101" i="9"/>
  <c r="K98" i="9"/>
  <c r="J98" i="9"/>
  <c r="I98" i="9"/>
  <c r="K95" i="9"/>
  <c r="K94" i="9"/>
  <c r="K93" i="9"/>
  <c r="K92" i="9"/>
  <c r="K87" i="9"/>
  <c r="L104" i="9"/>
  <c r="L101" i="9"/>
  <c r="L100" i="9"/>
  <c r="G13" i="14"/>
  <c r="F13" i="14"/>
  <c r="E13" i="14"/>
  <c r="D13" i="14"/>
  <c r="C13" i="14"/>
  <c r="C9" i="14"/>
  <c r="J13" i="14"/>
  <c r="I13" i="14"/>
  <c r="H8" i="14"/>
  <c r="G8" i="14"/>
  <c r="F8" i="14"/>
  <c r="E8" i="14"/>
  <c r="D8" i="14"/>
  <c r="C8" i="14"/>
  <c r="J8" i="14"/>
  <c r="I8" i="14"/>
  <c r="F206" i="16"/>
  <c r="F205" i="16"/>
  <c r="F210" i="16"/>
  <c r="G9" i="14"/>
  <c r="G10" i="14"/>
  <c r="H5" i="14"/>
  <c r="G7" i="2" s="1"/>
  <c r="G5" i="14"/>
  <c r="F7" i="2" s="1"/>
  <c r="H29" i="14"/>
  <c r="G13" i="2" s="1"/>
  <c r="H16" i="14"/>
  <c r="G11" i="2" s="1"/>
  <c r="H9" i="14"/>
  <c r="G12" i="14"/>
  <c r="G29" i="14"/>
  <c r="F13" i="2" s="1"/>
  <c r="G16" i="14"/>
  <c r="F11" i="2" s="1"/>
  <c r="H28" i="14"/>
  <c r="H15" i="14"/>
  <c r="G10" i="2" s="1"/>
  <c r="H10" i="14"/>
  <c r="G28" i="14"/>
  <c r="G15" i="14"/>
  <c r="F10" i="2" s="1"/>
  <c r="G14" i="14"/>
  <c r="F29" i="14"/>
  <c r="E13" i="2" s="1"/>
  <c r="F28" i="14"/>
  <c r="F16" i="14"/>
  <c r="E11" i="2" s="1"/>
  <c r="F15" i="14"/>
  <c r="E10" i="2" s="1"/>
  <c r="F14" i="14"/>
  <c r="F12" i="14"/>
  <c r="F7" i="14"/>
  <c r="E28" i="14"/>
  <c r="E15" i="14"/>
  <c r="D10" i="2" s="1"/>
  <c r="E14" i="14"/>
  <c r="E10" i="14"/>
  <c r="E7" i="14"/>
  <c r="F10" i="14"/>
  <c r="E16" i="14"/>
  <c r="D11" i="2" s="1"/>
  <c r="E29" i="14"/>
  <c r="D13" i="2" s="1"/>
  <c r="E12" i="14"/>
  <c r="E9" i="14"/>
  <c r="F5" i="14"/>
  <c r="E7" i="2" s="1"/>
  <c r="F9" i="14"/>
  <c r="J29" i="14"/>
  <c r="I13" i="2" s="1"/>
  <c r="J28" i="14"/>
  <c r="J16" i="14"/>
  <c r="I11" i="2" s="1"/>
  <c r="I16" i="14"/>
  <c r="H11" i="2" s="1"/>
  <c r="J15" i="14"/>
  <c r="I10" i="2" s="1"/>
  <c r="J14" i="14"/>
  <c r="J12" i="14"/>
  <c r="J7" i="14"/>
  <c r="J10" i="14"/>
  <c r="I15" i="14"/>
  <c r="H10" i="2" s="1"/>
  <c r="I9" i="14"/>
  <c r="I28" i="14"/>
  <c r="I14" i="14"/>
  <c r="J5" i="14"/>
  <c r="I7" i="2" s="1"/>
  <c r="J9" i="14"/>
  <c r="I29" i="14"/>
  <c r="H13" i="2" s="1"/>
  <c r="I12" i="14"/>
  <c r="I10" i="14"/>
  <c r="C10" i="14"/>
  <c r="C29" i="14"/>
  <c r="B13" i="2" s="1"/>
  <c r="C27" i="14"/>
  <c r="C25" i="14"/>
  <c r="C23" i="14"/>
  <c r="C16" i="14"/>
  <c r="B11" i="2" s="1"/>
  <c r="C12" i="14"/>
  <c r="C5" i="14"/>
  <c r="B7" i="2" s="1"/>
  <c r="D14" i="14"/>
  <c r="D7" i="14"/>
  <c r="C7" i="14"/>
  <c r="D28" i="14"/>
  <c r="D24" i="14"/>
  <c r="D15" i="14"/>
  <c r="C10" i="2" s="1"/>
  <c r="D9" i="14"/>
  <c r="C28" i="14"/>
  <c r="C24" i="14"/>
  <c r="M16" i="9"/>
  <c r="C22" i="14"/>
  <c r="C15" i="14"/>
  <c r="B10" i="2" s="1"/>
  <c r="C14" i="14"/>
  <c r="D29" i="14"/>
  <c r="C13" i="2" s="1"/>
  <c r="D27" i="14"/>
  <c r="D25" i="14"/>
  <c r="D23" i="14"/>
  <c r="D16" i="14"/>
  <c r="C11" i="2" s="1"/>
  <c r="D12" i="14"/>
  <c r="D10" i="14"/>
  <c r="D5" i="14"/>
  <c r="C7" i="2" s="1"/>
  <c r="C42" i="5"/>
  <c r="C44" i="5"/>
  <c r="L15" i="9"/>
  <c r="I19" i="9"/>
  <c r="N19" i="9"/>
  <c r="F26" i="14"/>
  <c r="F19" i="9"/>
  <c r="J19" i="9"/>
  <c r="E19" i="9"/>
  <c r="N20" i="9"/>
  <c r="F27" i="14"/>
  <c r="D14" i="9"/>
  <c r="J20" i="9"/>
  <c r="K17" i="9"/>
  <c r="H15" i="9"/>
  <c r="E20" i="9"/>
  <c r="I20" i="9"/>
  <c r="G17" i="9"/>
  <c r="N15" i="9"/>
  <c r="E20" i="14"/>
  <c r="D20" i="9"/>
  <c r="G20" i="9"/>
  <c r="O16" i="9"/>
  <c r="H22" i="14"/>
  <c r="P16" i="9"/>
  <c r="I22" i="14"/>
  <c r="D22" i="14"/>
  <c r="G16" i="9"/>
  <c r="K16" i="9"/>
  <c r="H16" i="9"/>
  <c r="L16" i="9"/>
  <c r="I16" i="9"/>
  <c r="D16" i="9"/>
  <c r="N16" i="9"/>
  <c r="F22" i="14"/>
  <c r="E16" i="9"/>
  <c r="F16" i="9"/>
  <c r="J16" i="9"/>
  <c r="O13" i="9"/>
  <c r="G18" i="14"/>
  <c r="P13" i="9"/>
  <c r="J18" i="14"/>
  <c r="D18" i="9"/>
  <c r="I18" i="9"/>
  <c r="J13" i="9"/>
  <c r="F13" i="9"/>
  <c r="E13" i="9"/>
  <c r="N13" i="9"/>
  <c r="F18" i="14"/>
  <c r="O14" i="9"/>
  <c r="H19" i="14"/>
  <c r="P14" i="9"/>
  <c r="J19" i="14"/>
  <c r="D13" i="9"/>
  <c r="D19" i="9"/>
  <c r="L18" i="9"/>
  <c r="H18" i="9"/>
  <c r="J17" i="9"/>
  <c r="F17" i="9"/>
  <c r="K15" i="9"/>
  <c r="J14" i="9"/>
  <c r="F14" i="9"/>
  <c r="I13" i="9"/>
  <c r="E14" i="9"/>
  <c r="E17" i="9"/>
  <c r="M14" i="9"/>
  <c r="C19" i="14"/>
  <c r="O18" i="9"/>
  <c r="H25" i="14"/>
  <c r="P18" i="9"/>
  <c r="I25" i="14"/>
  <c r="O15" i="9"/>
  <c r="H21" i="14"/>
  <c r="P15" i="9"/>
  <c r="I20" i="14"/>
  <c r="O17" i="9"/>
  <c r="G23" i="14"/>
  <c r="P17" i="9"/>
  <c r="J23" i="14"/>
  <c r="O19" i="9"/>
  <c r="H26" i="14"/>
  <c r="P19" i="9"/>
  <c r="J26" i="14"/>
  <c r="D17" i="9"/>
  <c r="L19" i="9"/>
  <c r="H19" i="9"/>
  <c r="K18" i="9"/>
  <c r="G18" i="9"/>
  <c r="I17" i="9"/>
  <c r="J15" i="9"/>
  <c r="F15" i="9"/>
  <c r="I14" i="9"/>
  <c r="L13" i="9"/>
  <c r="H13" i="9"/>
  <c r="E15" i="9"/>
  <c r="N14" i="9"/>
  <c r="F19" i="14"/>
  <c r="N17" i="9"/>
  <c r="E23" i="14"/>
  <c r="N18" i="9"/>
  <c r="E25" i="14"/>
  <c r="O20" i="9"/>
  <c r="H27" i="14"/>
  <c r="P20" i="9"/>
  <c r="J27" i="14"/>
  <c r="D15" i="9"/>
  <c r="L20" i="9"/>
  <c r="H20" i="9"/>
  <c r="K19" i="9"/>
  <c r="G19" i="9"/>
  <c r="J18" i="9"/>
  <c r="F18" i="9"/>
  <c r="L17" i="9"/>
  <c r="H17" i="9"/>
  <c r="I15" i="9"/>
  <c r="L14" i="9"/>
  <c r="H14" i="9"/>
  <c r="K13" i="9"/>
  <c r="G13" i="9"/>
  <c r="E18" i="9"/>
  <c r="M13" i="9"/>
  <c r="D18" i="14"/>
  <c r="M15" i="9"/>
  <c r="D21" i="14"/>
  <c r="M19" i="9"/>
  <c r="D26" i="14"/>
  <c r="C290" i="16"/>
  <c r="F20" i="14"/>
  <c r="F21" i="14"/>
  <c r="F23" i="14"/>
  <c r="F24" i="14"/>
  <c r="F25" i="14"/>
  <c r="D20" i="14"/>
  <c r="C20" i="14"/>
  <c r="C21" i="14"/>
  <c r="C220" i="16"/>
  <c r="D220" i="16"/>
  <c r="I21" i="14"/>
  <c r="I24" i="14"/>
  <c r="J20" i="14"/>
  <c r="J24" i="14"/>
  <c r="E19" i="14"/>
  <c r="E27" i="14"/>
  <c r="E22" i="14"/>
  <c r="G20" i="14"/>
  <c r="H20" i="14"/>
  <c r="G25" i="14"/>
  <c r="G19" i="14"/>
  <c r="H23" i="14"/>
  <c r="I23" i="14"/>
  <c r="I18" i="14"/>
  <c r="I26" i="14"/>
  <c r="J21" i="14"/>
  <c r="J25" i="14"/>
  <c r="E21" i="14"/>
  <c r="E24" i="14"/>
  <c r="G22" i="14"/>
  <c r="G27" i="14"/>
  <c r="H18" i="14"/>
  <c r="G21" i="14"/>
  <c r="D19" i="14"/>
  <c r="C18" i="14"/>
  <c r="C26" i="14"/>
  <c r="J22" i="14"/>
  <c r="E18" i="14"/>
  <c r="E26" i="14"/>
  <c r="G24" i="14"/>
  <c r="H24" i="14"/>
  <c r="I19" i="14"/>
  <c r="I27" i="14"/>
  <c r="G26" i="14"/>
  <c r="D290" i="16"/>
  <c r="G38" i="5"/>
  <c r="C38" i="5"/>
  <c r="E39" i="5"/>
  <c r="H39" i="5"/>
  <c r="G43" i="5"/>
  <c r="E41" i="5"/>
  <c r="G39" i="5"/>
  <c r="F40" i="5"/>
  <c r="I36" i="5"/>
  <c r="E36" i="5"/>
  <c r="E43" i="5"/>
  <c r="G37" i="5"/>
  <c r="G41" i="5"/>
  <c r="C36" i="5"/>
  <c r="E45" i="5"/>
  <c r="D37" i="5"/>
  <c r="I40" i="5"/>
  <c r="H43" i="5"/>
  <c r="I44" i="5"/>
  <c r="E37" i="5"/>
  <c r="H36" i="5"/>
  <c r="E38" i="5"/>
  <c r="D41" i="5"/>
  <c r="C37" i="5"/>
  <c r="C40" i="5"/>
  <c r="C56" i="2"/>
  <c r="B56" i="2"/>
  <c r="L98" i="9"/>
  <c r="L95" i="9"/>
  <c r="L94" i="9"/>
  <c r="L93" i="9"/>
  <c r="L92" i="9"/>
  <c r="L87" i="9"/>
  <c r="L103" i="9"/>
  <c r="L23" i="9"/>
  <c r="L35" i="9"/>
  <c r="L34" i="9"/>
  <c r="L33" i="9"/>
  <c r="L32" i="9"/>
  <c r="L31" i="9"/>
  <c r="L26" i="9"/>
  <c r="E49" i="2"/>
  <c r="D49" i="2"/>
  <c r="C49" i="2"/>
  <c r="B49" i="3"/>
  <c r="E49" i="3"/>
  <c r="D49" i="3"/>
  <c r="C49" i="3"/>
  <c r="D26" i="3"/>
  <c r="C26" i="3"/>
  <c r="H18" i="2"/>
  <c r="C23" i="4"/>
  <c r="C17" i="4"/>
  <c r="D17" i="4"/>
  <c r="D23" i="4"/>
  <c r="E17" i="4"/>
  <c r="E23" i="4"/>
  <c r="B17" i="4"/>
  <c r="D18" i="2"/>
  <c r="C18" i="3"/>
  <c r="I18" i="2"/>
  <c r="B18" i="3"/>
  <c r="E18" i="2"/>
  <c r="F18" i="2"/>
  <c r="E26" i="3"/>
  <c r="B23" i="4"/>
  <c r="E56" i="2"/>
  <c r="D56" i="2"/>
  <c r="B26" i="3" l="1"/>
  <c r="F70" i="16"/>
  <c r="F124" i="16"/>
  <c r="E50" i="16"/>
  <c r="F71" i="16"/>
  <c r="E51" i="16"/>
  <c r="F174" i="16"/>
  <c r="F173" i="16"/>
  <c r="F172" i="16"/>
  <c r="F171" i="16"/>
  <c r="F170" i="16"/>
  <c r="E174" i="16"/>
  <c r="E173" i="16"/>
  <c r="E172" i="16"/>
  <c r="E171" i="16"/>
  <c r="E170" i="16"/>
  <c r="G29" i="16"/>
  <c r="H174" i="16"/>
  <c r="H173" i="16"/>
  <c r="H172" i="16"/>
  <c r="H171" i="16"/>
  <c r="H170" i="16"/>
  <c r="G174" i="16"/>
  <c r="G173" i="16"/>
  <c r="G172" i="16"/>
  <c r="G171" i="16"/>
  <c r="G170" i="16"/>
  <c r="D174" i="16"/>
  <c r="D173" i="16"/>
  <c r="D172" i="16"/>
  <c r="D171" i="16"/>
  <c r="D170" i="16"/>
  <c r="C174" i="16"/>
  <c r="C173" i="16"/>
  <c r="C172" i="16"/>
  <c r="C171" i="16"/>
  <c r="C170" i="16"/>
  <c r="J174" i="16"/>
  <c r="J173" i="16"/>
  <c r="J172" i="16"/>
  <c r="J171" i="16"/>
  <c r="J170" i="16"/>
  <c r="I174" i="16"/>
  <c r="I173" i="16"/>
  <c r="I172" i="16"/>
  <c r="I171" i="16"/>
  <c r="I170" i="16"/>
  <c r="C51" i="16"/>
  <c r="E182" i="16"/>
  <c r="D30" i="16"/>
  <c r="D70" i="16"/>
  <c r="D50" i="16"/>
  <c r="D177" i="16"/>
  <c r="D176" i="16"/>
  <c r="D175" i="16"/>
  <c r="D169" i="16"/>
  <c r="C177" i="16"/>
  <c r="C176" i="16"/>
  <c r="C175" i="16"/>
  <c r="C169" i="16"/>
  <c r="C49" i="16"/>
  <c r="F177" i="16"/>
  <c r="F176" i="16"/>
  <c r="F175" i="16"/>
  <c r="F169" i="16"/>
  <c r="E177" i="16"/>
  <c r="E176" i="16"/>
  <c r="E175" i="16"/>
  <c r="E169" i="16"/>
  <c r="H6" i="16"/>
  <c r="H7" i="16" s="1"/>
  <c r="H177" i="16"/>
  <c r="H176" i="16"/>
  <c r="H175" i="16"/>
  <c r="H169" i="16"/>
  <c r="G177" i="16"/>
  <c r="G176" i="16"/>
  <c r="G175" i="16"/>
  <c r="G169" i="16"/>
  <c r="J25" i="16"/>
  <c r="J177" i="16"/>
  <c r="J176" i="16"/>
  <c r="J175" i="16"/>
  <c r="J169" i="16"/>
  <c r="I177" i="16"/>
  <c r="I176" i="16"/>
  <c r="I175" i="16"/>
  <c r="I169" i="16"/>
  <c r="I50" i="16"/>
  <c r="F50" i="16"/>
  <c r="I124" i="16"/>
  <c r="H29" i="16"/>
  <c r="F148" i="16"/>
  <c r="F179" i="16"/>
  <c r="F178" i="16"/>
  <c r="E179" i="16"/>
  <c r="E178" i="16"/>
  <c r="E125" i="16"/>
  <c r="F125" i="16"/>
  <c r="H148" i="16"/>
  <c r="G125" i="16"/>
  <c r="H125" i="16"/>
  <c r="H179" i="16"/>
  <c r="H178" i="16"/>
  <c r="G179" i="16"/>
  <c r="G178" i="16"/>
  <c r="J148" i="16"/>
  <c r="J179" i="16"/>
  <c r="J178" i="16"/>
  <c r="I179" i="16"/>
  <c r="I178" i="16"/>
  <c r="I125" i="16"/>
  <c r="J125" i="16"/>
  <c r="H70" i="16"/>
  <c r="G126" i="16"/>
  <c r="H50" i="16"/>
  <c r="G30" i="16"/>
  <c r="E126" i="16"/>
  <c r="I29" i="16"/>
  <c r="H124" i="16"/>
  <c r="G145" i="16"/>
  <c r="H168" i="16"/>
  <c r="G168" i="16"/>
  <c r="H51" i="16"/>
  <c r="G70" i="16"/>
  <c r="H182" i="16"/>
  <c r="G181" i="16"/>
  <c r="C125" i="16"/>
  <c r="D125" i="16"/>
  <c r="D179" i="16"/>
  <c r="D178" i="16"/>
  <c r="C179" i="16"/>
  <c r="C178" i="16"/>
  <c r="H30" i="16"/>
  <c r="H181" i="16"/>
  <c r="G124" i="16"/>
  <c r="J49" i="16"/>
  <c r="H126" i="16"/>
  <c r="G50" i="16"/>
  <c r="G182" i="16"/>
  <c r="C124" i="16"/>
  <c r="J71" i="16"/>
  <c r="H145" i="16"/>
  <c r="G51" i="16"/>
  <c r="H180" i="16"/>
  <c r="I69" i="5"/>
  <c r="D69" i="5"/>
  <c r="H69" i="5"/>
  <c r="E222" i="16"/>
  <c r="D17" i="5"/>
  <c r="J39" i="5"/>
  <c r="E69" i="5"/>
  <c r="D118" i="14"/>
  <c r="J43" i="5"/>
  <c r="J36" i="5"/>
  <c r="F69" i="5"/>
  <c r="J69" i="5"/>
  <c r="H17" i="5"/>
  <c r="J17" i="5"/>
  <c r="F17" i="5"/>
  <c r="E291" i="16"/>
  <c r="C69" i="5"/>
  <c r="C17" i="5"/>
  <c r="G69" i="5"/>
  <c r="E314" i="16"/>
  <c r="E17" i="5"/>
  <c r="G17" i="5"/>
  <c r="E321" i="16"/>
  <c r="I17" i="5"/>
  <c r="E319" i="16"/>
  <c r="C44" i="2"/>
  <c r="G44" i="2"/>
  <c r="G18" i="2"/>
  <c r="B43" i="3"/>
  <c r="D43" i="3"/>
  <c r="G35" i="5"/>
  <c r="D35" i="5"/>
  <c r="E317" i="16"/>
  <c r="I6" i="5"/>
  <c r="F6" i="5"/>
  <c r="G206" i="16"/>
  <c r="H205" i="16"/>
  <c r="C6" i="5"/>
  <c r="G282" i="16"/>
  <c r="F137" i="14"/>
  <c r="E43" i="3"/>
  <c r="E44" i="3" s="1"/>
  <c r="I143" i="14"/>
  <c r="I142" i="14"/>
  <c r="I141" i="14"/>
  <c r="E141" i="14"/>
  <c r="F140" i="14"/>
  <c r="C28" i="3"/>
  <c r="C30" i="3"/>
  <c r="D33" i="3"/>
  <c r="B37" i="3"/>
  <c r="D37" i="3"/>
  <c r="B38" i="3"/>
  <c r="D38" i="3"/>
  <c r="B40" i="3"/>
  <c r="D40" i="3"/>
  <c r="B41" i="3"/>
  <c r="D41" i="3"/>
  <c r="B42" i="3"/>
  <c r="D42" i="3"/>
  <c r="B33" i="3"/>
  <c r="C33" i="3"/>
  <c r="E33" i="3"/>
  <c r="I29" i="2"/>
  <c r="I27" i="2"/>
  <c r="E29" i="2"/>
  <c r="E27" i="2"/>
  <c r="H29" i="2"/>
  <c r="E29" i="3" s="1"/>
  <c r="H27" i="2"/>
  <c r="E27" i="3" s="1"/>
  <c r="D29" i="2"/>
  <c r="C29" i="3" s="1"/>
  <c r="D27" i="2"/>
  <c r="E28" i="3"/>
  <c r="G27" i="2"/>
  <c r="G29" i="2"/>
  <c r="C27" i="2"/>
  <c r="C29" i="2"/>
  <c r="B27" i="2"/>
  <c r="B29" i="2"/>
  <c r="F27" i="2"/>
  <c r="F29" i="2"/>
  <c r="D28" i="3"/>
  <c r="B30" i="3"/>
  <c r="D30" i="3"/>
  <c r="F182" i="16"/>
  <c r="E181" i="16"/>
  <c r="F126" i="16"/>
  <c r="E124" i="16"/>
  <c r="F180" i="16"/>
  <c r="C13" i="4"/>
  <c r="C10" i="4"/>
  <c r="F51" i="16"/>
  <c r="E29" i="16"/>
  <c r="E6" i="16"/>
  <c r="E7" i="16" s="1"/>
  <c r="F6" i="16"/>
  <c r="F7" i="16" s="1"/>
  <c r="E168" i="16"/>
  <c r="C26" i="4"/>
  <c r="E19" i="4"/>
  <c r="E7" i="4"/>
  <c r="C25" i="4"/>
  <c r="E26" i="4"/>
  <c r="E38" i="4"/>
  <c r="E6" i="5"/>
  <c r="E25" i="4"/>
  <c r="D33" i="4"/>
  <c r="E37" i="4"/>
  <c r="F139" i="14"/>
  <c r="E30" i="4"/>
  <c r="E13" i="4"/>
  <c r="E33" i="4"/>
  <c r="G9" i="2"/>
  <c r="H321" i="16"/>
  <c r="F39" i="17"/>
  <c r="F29" i="17"/>
  <c r="R32" i="17"/>
  <c r="R47" i="17"/>
  <c r="F53" i="17"/>
  <c r="R62" i="17"/>
  <c r="F21" i="17"/>
  <c r="X34" i="17"/>
  <c r="H312" i="16"/>
  <c r="G214" i="16"/>
  <c r="F14" i="17"/>
  <c r="H212" i="16"/>
  <c r="H282" i="16"/>
  <c r="H271" i="16"/>
  <c r="I271" i="16" s="1"/>
  <c r="H201" i="16"/>
  <c r="X17" i="17"/>
  <c r="R15" i="17"/>
  <c r="G312" i="16"/>
  <c r="I312" i="16" s="1"/>
  <c r="J6" i="5"/>
  <c r="G210" i="16"/>
  <c r="H203" i="16"/>
  <c r="H274" i="16"/>
  <c r="H204" i="16"/>
  <c r="H276" i="16"/>
  <c r="H278" i="16"/>
  <c r="E18" i="3"/>
  <c r="C29" i="16"/>
  <c r="F25" i="16"/>
  <c r="F168" i="16"/>
  <c r="E71" i="16"/>
  <c r="F29" i="16"/>
  <c r="F181" i="16"/>
  <c r="E70" i="16"/>
  <c r="D149" i="16"/>
  <c r="C181" i="16"/>
  <c r="I168" i="16"/>
  <c r="J149" i="16"/>
  <c r="D6" i="5"/>
  <c r="C27" i="4"/>
  <c r="D30" i="4"/>
  <c r="D24" i="4"/>
  <c r="D10" i="4"/>
  <c r="D38" i="4"/>
  <c r="D36" i="4"/>
  <c r="C120" i="14"/>
  <c r="C118" i="14" s="1"/>
  <c r="D126" i="14"/>
  <c r="C127" i="14"/>
  <c r="J127" i="14"/>
  <c r="I128" i="14"/>
  <c r="I129" i="14"/>
  <c r="I130" i="14"/>
  <c r="G131" i="14"/>
  <c r="J131" i="14"/>
  <c r="G133" i="14"/>
  <c r="J133" i="14"/>
  <c r="G134" i="14"/>
  <c r="J134" i="14"/>
  <c r="H143" i="14"/>
  <c r="D143" i="14"/>
  <c r="H142" i="14"/>
  <c r="D142" i="14"/>
  <c r="F141" i="14"/>
  <c r="C141" i="14"/>
  <c r="H140" i="14"/>
  <c r="E140" i="14"/>
  <c r="H139" i="14"/>
  <c r="E139" i="14"/>
  <c r="H138" i="14"/>
  <c r="E138" i="14"/>
  <c r="H137" i="14"/>
  <c r="E137" i="14"/>
  <c r="J136" i="14"/>
  <c r="G136" i="14"/>
  <c r="D136" i="14"/>
  <c r="E150" i="14"/>
  <c r="D27" i="4"/>
  <c r="D28" i="4"/>
  <c r="D35" i="4"/>
  <c r="C143" i="14"/>
  <c r="C142" i="14"/>
  <c r="J140" i="14"/>
  <c r="G140" i="14"/>
  <c r="J139" i="14"/>
  <c r="G139" i="14"/>
  <c r="J138" i="14"/>
  <c r="G138" i="14"/>
  <c r="J137" i="14"/>
  <c r="G137" i="14"/>
  <c r="I136" i="14"/>
  <c r="D26" i="4"/>
  <c r="D13" i="4"/>
  <c r="D11" i="4"/>
  <c r="D39" i="4"/>
  <c r="D37" i="4"/>
  <c r="D34" i="4"/>
  <c r="J142" i="14"/>
  <c r="J141" i="14"/>
  <c r="I140" i="14"/>
  <c r="D140" i="14"/>
  <c r="I139" i="14"/>
  <c r="D139" i="14"/>
  <c r="I138" i="14"/>
  <c r="D138" i="14"/>
  <c r="I137" i="14"/>
  <c r="C137" i="14"/>
  <c r="J135" i="14"/>
  <c r="C125" i="14"/>
  <c r="D18" i="3"/>
  <c r="B49" i="2"/>
  <c r="D29" i="16"/>
  <c r="F49" i="16"/>
  <c r="F145" i="16"/>
  <c r="E30" i="16"/>
  <c r="E149" i="16"/>
  <c r="F30" i="16"/>
  <c r="F149" i="16"/>
  <c r="E49" i="16"/>
  <c r="E52" i="16" s="1"/>
  <c r="E145" i="16"/>
  <c r="C70" i="16"/>
  <c r="D182" i="16"/>
  <c r="H49" i="16"/>
  <c r="H71" i="16"/>
  <c r="H72" i="16" s="1"/>
  <c r="H149" i="16"/>
  <c r="G6" i="16"/>
  <c r="G7" i="16" s="1"/>
  <c r="G49" i="16"/>
  <c r="G71" i="16"/>
  <c r="G72" i="16" s="1"/>
  <c r="G149" i="16"/>
  <c r="G180" i="16"/>
  <c r="C28" i="4"/>
  <c r="C24" i="4"/>
  <c r="E28" i="4"/>
  <c r="E24" i="4"/>
  <c r="E10" i="4"/>
  <c r="C33" i="4"/>
  <c r="E35" i="4"/>
  <c r="D137" i="14"/>
  <c r="E36" i="4"/>
  <c r="E34" i="4"/>
  <c r="E135" i="14"/>
  <c r="E180" i="16"/>
  <c r="E276" i="16"/>
  <c r="H284" i="16"/>
  <c r="H317" i="16"/>
  <c r="H313" i="16"/>
  <c r="G320" i="16"/>
  <c r="H320" i="16"/>
  <c r="G281" i="16"/>
  <c r="G318" i="16"/>
  <c r="H318" i="16"/>
  <c r="E328" i="16"/>
  <c r="H315" i="16"/>
  <c r="E313" i="16"/>
  <c r="E315" i="16"/>
  <c r="H314" i="16"/>
  <c r="E312" i="16"/>
  <c r="G313" i="16"/>
  <c r="G314" i="16"/>
  <c r="G315" i="16"/>
  <c r="E320" i="16"/>
  <c r="G317" i="16"/>
  <c r="E318" i="16"/>
  <c r="G321" i="16"/>
  <c r="E278" i="16"/>
  <c r="E326" i="16"/>
  <c r="E330" i="16"/>
  <c r="E332" i="16"/>
  <c r="E282" i="16"/>
  <c r="D126" i="16"/>
  <c r="C182" i="16"/>
  <c r="C149" i="16"/>
  <c r="C6" i="16"/>
  <c r="C7" i="16" s="1"/>
  <c r="E331" i="16"/>
  <c r="E329" i="16"/>
  <c r="E300" i="16"/>
  <c r="E327" i="16"/>
  <c r="E316" i="16"/>
  <c r="E297" i="16"/>
  <c r="E322" i="16"/>
  <c r="E298" i="16"/>
  <c r="E299" i="16"/>
  <c r="E296" i="16"/>
  <c r="H220" i="16"/>
  <c r="D180" i="16"/>
  <c r="C26" i="16"/>
  <c r="G26" i="16"/>
  <c r="C27" i="16"/>
  <c r="G27" i="16"/>
  <c r="D26" i="16"/>
  <c r="H26" i="16"/>
  <c r="D27" i="16"/>
  <c r="H27" i="16"/>
  <c r="E26" i="16"/>
  <c r="I26" i="16"/>
  <c r="E27" i="16"/>
  <c r="I27" i="16"/>
  <c r="F26" i="16"/>
  <c r="J26" i="16"/>
  <c r="F27" i="16"/>
  <c r="J27" i="16"/>
  <c r="C28" i="16"/>
  <c r="G28" i="16"/>
  <c r="D28" i="16"/>
  <c r="H28" i="16"/>
  <c r="E28" i="16"/>
  <c r="I28" i="16"/>
  <c r="F28" i="16"/>
  <c r="J28" i="16"/>
  <c r="H214" i="16"/>
  <c r="I214" i="16" s="1"/>
  <c r="G284" i="16"/>
  <c r="H206" i="16"/>
  <c r="C146" i="16"/>
  <c r="G205" i="16"/>
  <c r="G211" i="16"/>
  <c r="G146" i="16"/>
  <c r="C147" i="16"/>
  <c r="G147" i="16"/>
  <c r="H211" i="16"/>
  <c r="I51" i="16"/>
  <c r="I126" i="16"/>
  <c r="I181" i="16"/>
  <c r="J29" i="16"/>
  <c r="J50" i="16"/>
  <c r="J124" i="16"/>
  <c r="J168" i="16"/>
  <c r="D146" i="16"/>
  <c r="H146" i="16"/>
  <c r="D147" i="16"/>
  <c r="H147" i="16"/>
  <c r="J6" i="16"/>
  <c r="J7" i="16" s="1"/>
  <c r="I30" i="16"/>
  <c r="I70" i="16"/>
  <c r="I145" i="16"/>
  <c r="I182" i="16"/>
  <c r="J51" i="16"/>
  <c r="J126" i="16"/>
  <c r="J181" i="16"/>
  <c r="I180" i="16"/>
  <c r="E146" i="16"/>
  <c r="I146" i="16"/>
  <c r="E147" i="16"/>
  <c r="I147" i="16"/>
  <c r="G203" i="16"/>
  <c r="I25" i="16"/>
  <c r="I49" i="16"/>
  <c r="I71" i="16"/>
  <c r="I149" i="16"/>
  <c r="I6" i="16"/>
  <c r="I7" i="16" s="1"/>
  <c r="J30" i="16"/>
  <c r="J70" i="16"/>
  <c r="J145" i="16"/>
  <c r="J182" i="16"/>
  <c r="J180" i="16"/>
  <c r="F146" i="16"/>
  <c r="J146" i="16"/>
  <c r="F147" i="16"/>
  <c r="J147" i="16"/>
  <c r="C148" i="16"/>
  <c r="G148" i="16"/>
  <c r="G278" i="16"/>
  <c r="D148" i="16"/>
  <c r="E148" i="16"/>
  <c r="I148" i="16"/>
  <c r="G125" i="14"/>
  <c r="G123" i="14" s="1"/>
  <c r="I135" i="14"/>
  <c r="D125" i="14"/>
  <c r="D123" i="14" s="1"/>
  <c r="H125" i="14"/>
  <c r="H123" i="14" s="1"/>
  <c r="E125" i="14"/>
  <c r="E123" i="14" s="1"/>
  <c r="I125" i="14"/>
  <c r="F136" i="14"/>
  <c r="F132" i="14" s="1"/>
  <c r="I150" i="14"/>
  <c r="F125" i="14"/>
  <c r="F123" i="14" s="1"/>
  <c r="C30" i="16"/>
  <c r="D49" i="16"/>
  <c r="D181" i="16"/>
  <c r="C145" i="16"/>
  <c r="D124" i="16"/>
  <c r="C71" i="16"/>
  <c r="B27" i="4"/>
  <c r="B11" i="4"/>
  <c r="B39" i="4"/>
  <c r="B35" i="4"/>
  <c r="B18" i="2"/>
  <c r="D25" i="16"/>
  <c r="C18" i="2"/>
  <c r="C50" i="16"/>
  <c r="C52" i="16" s="1"/>
  <c r="C25" i="16"/>
  <c r="D51" i="16"/>
  <c r="D71" i="16"/>
  <c r="D72" i="16" s="1"/>
  <c r="D6" i="16"/>
  <c r="D7" i="16" s="1"/>
  <c r="C168" i="16"/>
  <c r="D145" i="16"/>
  <c r="C126" i="16"/>
  <c r="C180" i="16"/>
  <c r="B26" i="4"/>
  <c r="B24" i="4"/>
  <c r="B13" i="4"/>
  <c r="B10" i="4"/>
  <c r="B36" i="4"/>
  <c r="B19" i="4"/>
  <c r="B30" i="4"/>
  <c r="B38" i="4"/>
  <c r="D29" i="4"/>
  <c r="H136" i="11"/>
  <c r="L136" i="11"/>
  <c r="T136" i="11"/>
  <c r="G136" i="11"/>
  <c r="K136" i="11"/>
  <c r="P136" i="11"/>
  <c r="E11" i="4"/>
  <c r="C39" i="4"/>
  <c r="C38" i="4"/>
  <c r="C37" i="4"/>
  <c r="C36" i="4"/>
  <c r="C35" i="4"/>
  <c r="C34" i="4"/>
  <c r="C136" i="14"/>
  <c r="H135" i="14"/>
  <c r="H132" i="14" s="1"/>
  <c r="D135" i="14"/>
  <c r="G135" i="14"/>
  <c r="C135" i="14"/>
  <c r="E29" i="4"/>
  <c r="B11" i="3"/>
  <c r="C29" i="4"/>
  <c r="C201" i="16"/>
  <c r="B29" i="4"/>
  <c r="E5" i="14"/>
  <c r="D7" i="2" s="1"/>
  <c r="C7" i="3" s="1"/>
  <c r="J34" i="14"/>
  <c r="C12" i="4"/>
  <c r="E12" i="4"/>
  <c r="B9" i="4"/>
  <c r="D9" i="4"/>
  <c r="L51" i="11"/>
  <c r="M52" i="11"/>
  <c r="N53" i="11"/>
  <c r="N49" i="11"/>
  <c r="O55" i="11"/>
  <c r="O49" i="11"/>
  <c r="O46" i="11"/>
  <c r="P54" i="11"/>
  <c r="P50" i="11"/>
  <c r="Q48" i="11"/>
  <c r="R52" i="11"/>
  <c r="S52" i="11"/>
  <c r="S48" i="11"/>
  <c r="T52" i="11"/>
  <c r="U52" i="11"/>
  <c r="U48" i="11"/>
  <c r="U37" i="11" s="1"/>
  <c r="V55" i="11"/>
  <c r="V51" i="11"/>
  <c r="V47" i="11"/>
  <c r="W54" i="11"/>
  <c r="W50" i="11"/>
  <c r="X53" i="11"/>
  <c r="X49" i="11"/>
  <c r="Y52" i="11"/>
  <c r="Y48" i="11"/>
  <c r="Z55" i="11"/>
  <c r="Z51" i="11"/>
  <c r="Z47" i="11"/>
  <c r="AA54" i="11"/>
  <c r="AA50" i="11"/>
  <c r="AB53" i="11"/>
  <c r="AB49" i="11"/>
  <c r="AC52" i="11"/>
  <c r="AC48" i="11"/>
  <c r="AD55" i="11"/>
  <c r="AD51" i="11"/>
  <c r="AD47" i="11"/>
  <c r="AE54" i="11"/>
  <c r="AE50" i="11"/>
  <c r="AF53" i="11"/>
  <c r="AF49" i="11"/>
  <c r="AG52" i="11"/>
  <c r="AG48" i="11"/>
  <c r="E50" i="11"/>
  <c r="G48" i="11"/>
  <c r="F53" i="11"/>
  <c r="I50" i="11"/>
  <c r="K55" i="11"/>
  <c r="K51" i="11"/>
  <c r="K47" i="11"/>
  <c r="J52" i="11"/>
  <c r="M48" i="11"/>
  <c r="O53" i="11"/>
  <c r="O48" i="11"/>
  <c r="Q54" i="11"/>
  <c r="Q46" i="11"/>
  <c r="S55" i="11"/>
  <c r="S51" i="11"/>
  <c r="S47" i="11"/>
  <c r="U55" i="11"/>
  <c r="U51" i="11"/>
  <c r="U47" i="11"/>
  <c r="V54" i="11"/>
  <c r="V50" i="11"/>
  <c r="V46" i="11"/>
  <c r="Y55" i="11"/>
  <c r="Y51" i="11"/>
  <c r="Y47" i="11"/>
  <c r="Z54" i="11"/>
  <c r="Z50" i="11"/>
  <c r="Z46" i="11"/>
  <c r="AC55" i="11"/>
  <c r="AC51" i="11"/>
  <c r="AC47" i="11"/>
  <c r="AD54" i="11"/>
  <c r="AD50" i="11"/>
  <c r="AD46" i="11"/>
  <c r="AG55" i="11"/>
  <c r="AG51" i="11"/>
  <c r="AG47" i="11"/>
  <c r="E46" i="11"/>
  <c r="I46" i="11"/>
  <c r="K54" i="11"/>
  <c r="K50" i="11"/>
  <c r="K46" i="11"/>
  <c r="C9" i="4"/>
  <c r="E9" i="4"/>
  <c r="L53" i="11"/>
  <c r="L48" i="11"/>
  <c r="N55" i="11"/>
  <c r="N51" i="11"/>
  <c r="O52" i="11"/>
  <c r="P52" i="11"/>
  <c r="Q52" i="11"/>
  <c r="R55" i="11"/>
  <c r="R46" i="11"/>
  <c r="S54" i="11"/>
  <c r="S50" i="11"/>
  <c r="T48" i="11"/>
  <c r="U54" i="11"/>
  <c r="U50" i="11"/>
  <c r="V53" i="11"/>
  <c r="W52" i="11"/>
  <c r="X55" i="11"/>
  <c r="X51" i="11"/>
  <c r="Y54" i="11"/>
  <c r="Y50" i="11"/>
  <c r="Z53" i="11"/>
  <c r="AA52" i="11"/>
  <c r="AB55" i="11"/>
  <c r="AB51" i="11"/>
  <c r="AC54" i="11"/>
  <c r="AC50" i="11"/>
  <c r="AD53" i="11"/>
  <c r="AE52" i="11"/>
  <c r="AF55" i="11"/>
  <c r="AF51" i="11"/>
  <c r="AG54" i="11"/>
  <c r="AG50" i="11"/>
  <c r="E54" i="11"/>
  <c r="E48" i="11"/>
  <c r="D51" i="11"/>
  <c r="F47" i="11"/>
  <c r="I54" i="11"/>
  <c r="I48" i="11"/>
  <c r="H52" i="11"/>
  <c r="K53" i="11"/>
  <c r="J55" i="11"/>
  <c r="J46" i="11"/>
  <c r="G275" i="16"/>
  <c r="C10" i="3"/>
  <c r="G208" i="16"/>
  <c r="I11" i="14"/>
  <c r="E10" i="3"/>
  <c r="E11" i="14"/>
  <c r="E214" i="16"/>
  <c r="D277" i="16"/>
  <c r="G11" i="14"/>
  <c r="B20" i="3"/>
  <c r="D52" i="11"/>
  <c r="D47" i="11"/>
  <c r="G46" i="11"/>
  <c r="F54" i="11"/>
  <c r="F50" i="11"/>
  <c r="F46" i="11"/>
  <c r="D55" i="11"/>
  <c r="D49" i="11"/>
  <c r="D46" i="11"/>
  <c r="F52" i="11"/>
  <c r="F48" i="11"/>
  <c r="D53" i="11"/>
  <c r="F55" i="11"/>
  <c r="F51" i="11"/>
  <c r="G34" i="14"/>
  <c r="G36" i="5"/>
  <c r="F37" i="14"/>
  <c r="F39" i="5"/>
  <c r="D36" i="5"/>
  <c r="D34" i="14"/>
  <c r="I37" i="14"/>
  <c r="I39" i="5"/>
  <c r="H280" i="16"/>
  <c r="E205" i="16"/>
  <c r="L54" i="11"/>
  <c r="L50" i="11"/>
  <c r="M53" i="11"/>
  <c r="M49" i="11"/>
  <c r="O54" i="11"/>
  <c r="O50" i="11"/>
  <c r="P37" i="11"/>
  <c r="Q55" i="11"/>
  <c r="Q51" i="11"/>
  <c r="Q47" i="11"/>
  <c r="R54" i="11"/>
  <c r="R50" i="11"/>
  <c r="S37" i="11"/>
  <c r="T55" i="11"/>
  <c r="T51" i="11"/>
  <c r="T47" i="11"/>
  <c r="E55" i="11"/>
  <c r="E51" i="11"/>
  <c r="E47" i="11"/>
  <c r="D54" i="11"/>
  <c r="D50" i="11"/>
  <c r="G53" i="11"/>
  <c r="G49" i="11"/>
  <c r="I55" i="11"/>
  <c r="I51" i="11"/>
  <c r="I47" i="11"/>
  <c r="H53" i="11"/>
  <c r="H49" i="11"/>
  <c r="K37" i="11"/>
  <c r="J54" i="11"/>
  <c r="J50" i="11"/>
  <c r="L37" i="11"/>
  <c r="M55" i="11"/>
  <c r="M51" i="11"/>
  <c r="M47" i="11"/>
  <c r="N37" i="11"/>
  <c r="O37" i="11"/>
  <c r="Q53" i="11"/>
  <c r="T53" i="11"/>
  <c r="E53" i="11"/>
  <c r="G55" i="11"/>
  <c r="G51" i="11"/>
  <c r="G47" i="11"/>
  <c r="I53" i="11"/>
  <c r="H55" i="11"/>
  <c r="H51" i="11"/>
  <c r="H47" i="11"/>
  <c r="J37" i="11"/>
  <c r="M54" i="11"/>
  <c r="M50" i="11"/>
  <c r="G54" i="11"/>
  <c r="G50" i="11"/>
  <c r="H54" i="11"/>
  <c r="H50" i="11"/>
  <c r="C9" i="2"/>
  <c r="C11" i="14"/>
  <c r="E9" i="2"/>
  <c r="E271" i="16"/>
  <c r="G204" i="16"/>
  <c r="H208" i="16"/>
  <c r="H210" i="16"/>
  <c r="I210" i="16" s="1"/>
  <c r="G220" i="16"/>
  <c r="G290" i="16"/>
  <c r="G280" i="16"/>
  <c r="G274" i="16"/>
  <c r="G222" i="16"/>
  <c r="G291" i="16"/>
  <c r="G276" i="16"/>
  <c r="E208" i="16"/>
  <c r="G212" i="16"/>
  <c r="I212" i="16" s="1"/>
  <c r="H222" i="16"/>
  <c r="H291" i="16"/>
  <c r="G209" i="16"/>
  <c r="I209" i="16" s="1"/>
  <c r="D219" i="16"/>
  <c r="D223" i="16" s="1"/>
  <c r="E290" i="16"/>
  <c r="H279" i="16"/>
  <c r="J6" i="14"/>
  <c r="I8" i="2" s="1"/>
  <c r="E284" i="16"/>
  <c r="E281" i="16"/>
  <c r="E275" i="16"/>
  <c r="E280" i="16"/>
  <c r="H17" i="14"/>
  <c r="G12" i="2" s="1"/>
  <c r="B9" i="2"/>
  <c r="C17" i="14"/>
  <c r="B12" i="2" s="1"/>
  <c r="E206" i="16"/>
  <c r="C277" i="16"/>
  <c r="D17" i="14"/>
  <c r="C12" i="2" s="1"/>
  <c r="H275" i="16"/>
  <c r="H281" i="16"/>
  <c r="D9" i="2"/>
  <c r="H9" i="2"/>
  <c r="E211" i="16"/>
  <c r="E6" i="14"/>
  <c r="D8" i="2" s="1"/>
  <c r="F9" i="2"/>
  <c r="D9" i="3" s="1"/>
  <c r="C6" i="14"/>
  <c r="B8" i="2" s="1"/>
  <c r="F11" i="14"/>
  <c r="D11" i="14"/>
  <c r="D6" i="14"/>
  <c r="C8" i="2" s="1"/>
  <c r="B7" i="3"/>
  <c r="I6" i="14"/>
  <c r="H8" i="2" s="1"/>
  <c r="J11" i="14"/>
  <c r="B8" i="4"/>
  <c r="E212" i="16"/>
  <c r="E220" i="16"/>
  <c r="F17" i="14"/>
  <c r="E12" i="2" s="1"/>
  <c r="E11" i="5"/>
  <c r="D13" i="3"/>
  <c r="C219" i="16"/>
  <c r="C223" i="16" s="1"/>
  <c r="F6" i="14"/>
  <c r="E8" i="2" s="1"/>
  <c r="E8" i="4"/>
  <c r="F72" i="16"/>
  <c r="C207" i="16"/>
  <c r="J11" i="5"/>
  <c r="D202" i="16"/>
  <c r="D207" i="16"/>
  <c r="C20" i="3"/>
  <c r="I9" i="2"/>
  <c r="E17" i="14"/>
  <c r="D12" i="2" s="1"/>
  <c r="I17" i="14"/>
  <c r="H12" i="2" s="1"/>
  <c r="G17" i="14"/>
  <c r="F12" i="2" s="1"/>
  <c r="D10" i="3"/>
  <c r="C8" i="4"/>
  <c r="H290" i="16"/>
  <c r="J17" i="14"/>
  <c r="I12" i="2" s="1"/>
  <c r="G7" i="5"/>
  <c r="G6" i="5" s="1"/>
  <c r="R6" i="11"/>
  <c r="R5" i="11"/>
  <c r="G25" i="16"/>
  <c r="S5" i="11"/>
  <c r="H7" i="5"/>
  <c r="H6" i="5" s="1"/>
  <c r="S6" i="11"/>
  <c r="H25" i="16"/>
  <c r="C289" i="16"/>
  <c r="D67" i="14"/>
  <c r="C31" i="2" s="1"/>
  <c r="C13" i="3"/>
  <c r="G11" i="5"/>
  <c r="I5" i="14"/>
  <c r="H7" i="2" s="1"/>
  <c r="E7" i="3" s="1"/>
  <c r="I11" i="5"/>
  <c r="E210" i="16"/>
  <c r="E209" i="16"/>
  <c r="B13" i="3"/>
  <c r="G67" i="14"/>
  <c r="F31" i="2" s="1"/>
  <c r="E283" i="16"/>
  <c r="H11" i="5"/>
  <c r="E274" i="16"/>
  <c r="E122" i="5"/>
  <c r="E204" i="16"/>
  <c r="E20" i="3"/>
  <c r="E11" i="3"/>
  <c r="D7" i="3"/>
  <c r="E213" i="16"/>
  <c r="C11" i="5"/>
  <c r="C122" i="5"/>
  <c r="J136" i="5"/>
  <c r="I122" i="5"/>
  <c r="H136" i="5"/>
  <c r="G122" i="5"/>
  <c r="F136" i="5"/>
  <c r="D136" i="5"/>
  <c r="H67" i="14"/>
  <c r="G31" i="2" s="1"/>
  <c r="B10" i="3"/>
  <c r="I213" i="16"/>
  <c r="C127" i="5"/>
  <c r="I127" i="5"/>
  <c r="G127" i="5"/>
  <c r="E127" i="5"/>
  <c r="I67" i="14"/>
  <c r="H31" i="2" s="1"/>
  <c r="E67" i="14"/>
  <c r="D31" i="2" s="1"/>
  <c r="D11" i="3"/>
  <c r="D11" i="5"/>
  <c r="F11" i="5"/>
  <c r="E279" i="16"/>
  <c r="H11" i="14"/>
  <c r="D20" i="3"/>
  <c r="C136" i="5"/>
  <c r="J122" i="5"/>
  <c r="I136" i="5"/>
  <c r="H122" i="5"/>
  <c r="G136" i="5"/>
  <c r="F122" i="5"/>
  <c r="E136" i="5"/>
  <c r="D122" i="5"/>
  <c r="J67" i="14"/>
  <c r="I31" i="2" s="1"/>
  <c r="F67" i="14"/>
  <c r="E31" i="2" s="1"/>
  <c r="C11" i="3"/>
  <c r="C202" i="16"/>
  <c r="J127" i="5"/>
  <c r="H127" i="5"/>
  <c r="F127" i="5"/>
  <c r="D127" i="5"/>
  <c r="C67" i="14"/>
  <c r="B31" i="2" s="1"/>
  <c r="D289" i="16"/>
  <c r="E13" i="3"/>
  <c r="G279" i="16"/>
  <c r="E203" i="16"/>
  <c r="I276" i="16" l="1"/>
  <c r="I205" i="16"/>
  <c r="E72" i="16"/>
  <c r="G52" i="16"/>
  <c r="I282" i="16"/>
  <c r="I278" i="16"/>
  <c r="F127" i="16"/>
  <c r="H127" i="16"/>
  <c r="I203" i="16"/>
  <c r="H183" i="16"/>
  <c r="E183" i="16"/>
  <c r="D150" i="16"/>
  <c r="H202" i="16"/>
  <c r="I321" i="16"/>
  <c r="J72" i="16"/>
  <c r="I274" i="16"/>
  <c r="H52" i="16"/>
  <c r="G127" i="16"/>
  <c r="I150" i="16"/>
  <c r="G183" i="16"/>
  <c r="J150" i="16"/>
  <c r="G150" i="16"/>
  <c r="F150" i="16"/>
  <c r="H150" i="16"/>
  <c r="F52" i="16"/>
  <c r="C150" i="16"/>
  <c r="E150" i="16"/>
  <c r="E127" i="16"/>
  <c r="I123" i="14"/>
  <c r="F183" i="16"/>
  <c r="D132" i="14"/>
  <c r="D117" i="14" s="1"/>
  <c r="C32" i="2" s="1"/>
  <c r="C34" i="2" s="1"/>
  <c r="C45" i="2" s="1"/>
  <c r="C123" i="14"/>
  <c r="I72" i="16"/>
  <c r="G202" i="16"/>
  <c r="J123" i="14"/>
  <c r="I183" i="16"/>
  <c r="C72" i="16"/>
  <c r="I284" i="16"/>
  <c r="D35" i="15"/>
  <c r="D36" i="15"/>
  <c r="I211" i="16"/>
  <c r="D32" i="15"/>
  <c r="C132" i="14"/>
  <c r="E132" i="14"/>
  <c r="E117" i="14" s="1"/>
  <c r="D32" i="2" s="1"/>
  <c r="D34" i="2" s="1"/>
  <c r="D45" i="2" s="1"/>
  <c r="D27" i="3"/>
  <c r="D38" i="15"/>
  <c r="J127" i="16"/>
  <c r="D183" i="16"/>
  <c r="C127" i="16"/>
  <c r="D44" i="3"/>
  <c r="B44" i="3"/>
  <c r="C27" i="3"/>
  <c r="B27" i="3"/>
  <c r="D29" i="3"/>
  <c r="B29" i="3"/>
  <c r="G132" i="14"/>
  <c r="G117" i="14" s="1"/>
  <c r="F32" i="2" s="1"/>
  <c r="I132" i="14"/>
  <c r="I117" i="14" s="1"/>
  <c r="H32" i="2" s="1"/>
  <c r="H34" i="2" s="1"/>
  <c r="H45" i="2" s="1"/>
  <c r="D12" i="3"/>
  <c r="H316" i="16"/>
  <c r="C52" i="2"/>
  <c r="H117" i="14"/>
  <c r="G32" i="2" s="1"/>
  <c r="G34" i="2" s="1"/>
  <c r="G45" i="2" s="1"/>
  <c r="G316" i="16"/>
  <c r="H300" i="16"/>
  <c r="G300" i="16"/>
  <c r="B52" i="2"/>
  <c r="J132" i="14"/>
  <c r="J117" i="14" s="1"/>
  <c r="I32" i="2" s="1"/>
  <c r="I34" i="2" s="1"/>
  <c r="I45" i="2" s="1"/>
  <c r="B31" i="3"/>
  <c r="C31" i="3"/>
  <c r="D31" i="3"/>
  <c r="E31" i="3"/>
  <c r="E12" i="3"/>
  <c r="I220" i="16"/>
  <c r="I281" i="16"/>
  <c r="I317" i="16"/>
  <c r="I313" i="16"/>
  <c r="I320" i="16"/>
  <c r="I315" i="16"/>
  <c r="I318" i="16"/>
  <c r="I314" i="16"/>
  <c r="J183" i="16"/>
  <c r="I206" i="16"/>
  <c r="J52" i="16"/>
  <c r="I52" i="16"/>
  <c r="D52" i="16"/>
  <c r="C183" i="16"/>
  <c r="C31" i="16"/>
  <c r="I275" i="16"/>
  <c r="I31" i="16"/>
  <c r="H31" i="16"/>
  <c r="E31" i="16"/>
  <c r="F31" i="16"/>
  <c r="D31" i="16"/>
  <c r="J31" i="16"/>
  <c r="G31" i="16"/>
  <c r="I204" i="16"/>
  <c r="H277" i="16"/>
  <c r="I127" i="16"/>
  <c r="I280" i="16"/>
  <c r="D127" i="16"/>
  <c r="I222" i="16"/>
  <c r="G289" i="16"/>
  <c r="G292" i="16" s="1"/>
  <c r="G207" i="16"/>
  <c r="I290" i="16"/>
  <c r="H219" i="16"/>
  <c r="H223" i="16" s="1"/>
  <c r="E219" i="16"/>
  <c r="E223" i="16" s="1"/>
  <c r="I208" i="16"/>
  <c r="F117" i="14"/>
  <c r="E32" i="2" s="1"/>
  <c r="B8" i="3"/>
  <c r="B12" i="3"/>
  <c r="B9" i="3"/>
  <c r="E277" i="16"/>
  <c r="H38" i="14"/>
  <c r="H40" i="5"/>
  <c r="F40" i="14"/>
  <c r="F42" i="5"/>
  <c r="C43" i="14"/>
  <c r="C45" i="5"/>
  <c r="J35" i="14"/>
  <c r="J37" i="5"/>
  <c r="H39" i="14"/>
  <c r="H41" i="5"/>
  <c r="D36" i="14"/>
  <c r="D38" i="5"/>
  <c r="I40" i="14"/>
  <c r="I42" i="5"/>
  <c r="F36" i="14"/>
  <c r="F38" i="5"/>
  <c r="D37" i="14"/>
  <c r="D39" i="5"/>
  <c r="J38" i="14"/>
  <c r="J40" i="5"/>
  <c r="H42" i="14"/>
  <c r="H44" i="5"/>
  <c r="E40" i="14"/>
  <c r="E42" i="5"/>
  <c r="J39" i="14"/>
  <c r="J41" i="5"/>
  <c r="H43" i="14"/>
  <c r="H45" i="5"/>
  <c r="D41" i="14"/>
  <c r="D43" i="5"/>
  <c r="H36" i="14"/>
  <c r="H38" i="5"/>
  <c r="E38" i="14"/>
  <c r="E40" i="5"/>
  <c r="D43" i="14"/>
  <c r="D45" i="5"/>
  <c r="J42" i="14"/>
  <c r="J44" i="5"/>
  <c r="D40" i="14"/>
  <c r="D42" i="5"/>
  <c r="J43" i="14"/>
  <c r="J45" i="5"/>
  <c r="F34" i="14"/>
  <c r="F36" i="5"/>
  <c r="J36" i="14"/>
  <c r="J38" i="5"/>
  <c r="H40" i="14"/>
  <c r="H42" i="5"/>
  <c r="E42" i="14"/>
  <c r="E44" i="5"/>
  <c r="C37" i="14"/>
  <c r="C39" i="5"/>
  <c r="I36" i="14"/>
  <c r="I38" i="5"/>
  <c r="G43" i="14"/>
  <c r="G45" i="5"/>
  <c r="C39" i="14"/>
  <c r="C41" i="5"/>
  <c r="H35" i="14"/>
  <c r="H37" i="5"/>
  <c r="F42" i="14"/>
  <c r="F44" i="5"/>
  <c r="J40" i="14"/>
  <c r="J42" i="5"/>
  <c r="G40" i="14"/>
  <c r="G42" i="5"/>
  <c r="C41" i="14"/>
  <c r="C43" i="5"/>
  <c r="G201" i="16"/>
  <c r="I201" i="16" s="1"/>
  <c r="E201" i="16"/>
  <c r="B55" i="2"/>
  <c r="I291" i="16"/>
  <c r="C9" i="3"/>
  <c r="E9" i="3"/>
  <c r="D34" i="15" s="1"/>
  <c r="C8" i="3"/>
  <c r="C55" i="2"/>
  <c r="M37" i="11"/>
  <c r="B18" i="4" s="1"/>
  <c r="B20" i="4" s="1"/>
  <c r="F37" i="11"/>
  <c r="C12" i="3"/>
  <c r="E52" i="2"/>
  <c r="H37" i="11"/>
  <c r="G37" i="11"/>
  <c r="I279" i="16"/>
  <c r="G219" i="16"/>
  <c r="G223" i="16" s="1"/>
  <c r="I43" i="5"/>
  <c r="I41" i="14"/>
  <c r="E18" i="4"/>
  <c r="E20" i="4" s="1"/>
  <c r="I35" i="14"/>
  <c r="I37" i="5"/>
  <c r="G38" i="14"/>
  <c r="R35" i="11"/>
  <c r="G40" i="5"/>
  <c r="F43" i="14"/>
  <c r="F45" i="5"/>
  <c r="F41" i="14"/>
  <c r="F43" i="5"/>
  <c r="E37" i="11"/>
  <c r="I39" i="14"/>
  <c r="I41" i="5"/>
  <c r="G42" i="14"/>
  <c r="G44" i="5"/>
  <c r="D37" i="11"/>
  <c r="R37" i="11"/>
  <c r="D18" i="4" s="1"/>
  <c r="D20" i="4" s="1"/>
  <c r="I37" i="11"/>
  <c r="I43" i="14"/>
  <c r="I45" i="5"/>
  <c r="F37" i="5"/>
  <c r="F35" i="14"/>
  <c r="Q37" i="11"/>
  <c r="C18" i="4" s="1"/>
  <c r="C20" i="4" s="1"/>
  <c r="D38" i="14"/>
  <c r="D40" i="5"/>
  <c r="F41" i="5"/>
  <c r="F39" i="14"/>
  <c r="D44" i="5"/>
  <c r="D42" i="14"/>
  <c r="H207" i="16"/>
  <c r="E202" i="16"/>
  <c r="H333" i="16"/>
  <c r="D52" i="2"/>
  <c r="C292" i="16"/>
  <c r="D8" i="4"/>
  <c r="E207" i="16"/>
  <c r="G333" i="16"/>
  <c r="J121" i="5"/>
  <c r="H7" i="14"/>
  <c r="H6" i="14" s="1"/>
  <c r="D273" i="16"/>
  <c r="G7" i="14"/>
  <c r="G6" i="14" s="1"/>
  <c r="C273" i="16"/>
  <c r="F121" i="5"/>
  <c r="D121" i="5"/>
  <c r="H121" i="5"/>
  <c r="E121" i="5"/>
  <c r="C121" i="5"/>
  <c r="G121" i="5"/>
  <c r="I121" i="5"/>
  <c r="D292" i="16"/>
  <c r="E289" i="16"/>
  <c r="H289" i="16"/>
  <c r="E55" i="2"/>
  <c r="E8" i="3"/>
  <c r="G277" i="16"/>
  <c r="I202" i="16" l="1"/>
  <c r="C117" i="14"/>
  <c r="B32" i="2" s="1"/>
  <c r="B34" i="2" s="1"/>
  <c r="B45" i="2" s="1"/>
  <c r="H323" i="16"/>
  <c r="D37" i="15"/>
  <c r="C32" i="3"/>
  <c r="I316" i="16"/>
  <c r="H33" i="14"/>
  <c r="G19" i="2" s="1"/>
  <c r="G21" i="2" s="1"/>
  <c r="D32" i="3"/>
  <c r="D34" i="3" s="1"/>
  <c r="D45" i="3" s="1"/>
  <c r="G323" i="16"/>
  <c r="E32" i="3"/>
  <c r="E34" i="3" s="1"/>
  <c r="E45" i="3" s="1"/>
  <c r="I300" i="16"/>
  <c r="B32" i="3"/>
  <c r="B34" i="3" s="1"/>
  <c r="B45" i="3" s="1"/>
  <c r="C34" i="3"/>
  <c r="C45" i="3" s="1"/>
  <c r="F34" i="2"/>
  <c r="F45" i="2" s="1"/>
  <c r="E34" i="2"/>
  <c r="E45" i="2" s="1"/>
  <c r="I207" i="16"/>
  <c r="F223" i="16"/>
  <c r="I219" i="16"/>
  <c r="I223" i="16" s="1"/>
  <c r="H32" i="5"/>
  <c r="E33" i="14"/>
  <c r="D19" i="2" s="1"/>
  <c r="D21" i="2" s="1"/>
  <c r="C32" i="5"/>
  <c r="C30" i="5"/>
  <c r="C215" i="16"/>
  <c r="G215" i="16" s="1"/>
  <c r="G216" i="16" s="1"/>
  <c r="C30" i="14"/>
  <c r="C33" i="14"/>
  <c r="B19" i="2" s="1"/>
  <c r="B21" i="2" s="1"/>
  <c r="E32" i="5"/>
  <c r="J30" i="14"/>
  <c r="J30" i="5"/>
  <c r="J32" i="5"/>
  <c r="H30" i="14"/>
  <c r="G14" i="2" s="1"/>
  <c r="D285" i="16"/>
  <c r="H285" i="16" s="1"/>
  <c r="H30" i="5"/>
  <c r="G33" i="14"/>
  <c r="F19" i="2" s="1"/>
  <c r="F21" i="2" s="1"/>
  <c r="E30" i="5"/>
  <c r="E30" i="14"/>
  <c r="J33" i="14"/>
  <c r="I19" i="2" s="1"/>
  <c r="I21" i="2" s="1"/>
  <c r="D33" i="14"/>
  <c r="C19" i="2" s="1"/>
  <c r="C21" i="2" s="1"/>
  <c r="F33" i="14"/>
  <c r="E19" i="2" s="1"/>
  <c r="E21" i="2" s="1"/>
  <c r="D30" i="14"/>
  <c r="D30" i="5"/>
  <c r="D215" i="16"/>
  <c r="B14" i="4"/>
  <c r="F32" i="5"/>
  <c r="F30" i="14"/>
  <c r="F30" i="5"/>
  <c r="C14" i="4"/>
  <c r="I32" i="5"/>
  <c r="G32" i="5"/>
  <c r="I33" i="14"/>
  <c r="H19" i="2" s="1"/>
  <c r="C285" i="16"/>
  <c r="G30" i="5"/>
  <c r="D14" i="4"/>
  <c r="G30" i="14"/>
  <c r="F14" i="2" s="1"/>
  <c r="D32" i="5"/>
  <c r="I30" i="5"/>
  <c r="E14" i="4"/>
  <c r="I30" i="14"/>
  <c r="I333" i="16"/>
  <c r="E292" i="16"/>
  <c r="C272" i="16"/>
  <c r="G273" i="16"/>
  <c r="E273" i="16"/>
  <c r="F8" i="2"/>
  <c r="D272" i="16"/>
  <c r="H273" i="16"/>
  <c r="H272" i="16" s="1"/>
  <c r="G8" i="2"/>
  <c r="I277" i="16"/>
  <c r="H292" i="16"/>
  <c r="I292" i="16" s="1"/>
  <c r="I289" i="16"/>
  <c r="I323" i="16" l="1"/>
  <c r="B51" i="2"/>
  <c r="B53" i="2" s="1"/>
  <c r="C19" i="3"/>
  <c r="C21" i="3" s="1"/>
  <c r="C51" i="3" s="1"/>
  <c r="D51" i="2"/>
  <c r="D53" i="2" s="1"/>
  <c r="H31" i="14"/>
  <c r="C51" i="2"/>
  <c r="C53" i="2" s="1"/>
  <c r="H286" i="16"/>
  <c r="B19" i="3"/>
  <c r="B21" i="3" s="1"/>
  <c r="B51" i="3" s="1"/>
  <c r="D19" i="3"/>
  <c r="D21" i="3" s="1"/>
  <c r="D51" i="3" s="1"/>
  <c r="D14" i="2"/>
  <c r="D15" i="2" s="1"/>
  <c r="D23" i="2" s="1"/>
  <c r="E31" i="14"/>
  <c r="I14" i="2"/>
  <c r="I15" i="2" s="1"/>
  <c r="I23" i="2" s="1"/>
  <c r="J31" i="14"/>
  <c r="B14" i="2"/>
  <c r="B15" i="2" s="1"/>
  <c r="B23" i="2" s="1"/>
  <c r="C31" i="14"/>
  <c r="H14" i="2"/>
  <c r="I31" i="14"/>
  <c r="D57" i="2"/>
  <c r="D14" i="3"/>
  <c r="C14" i="2"/>
  <c r="D31" i="14"/>
  <c r="H215" i="16"/>
  <c r="E215" i="16"/>
  <c r="H21" i="2"/>
  <c r="E51" i="2" s="1"/>
  <c r="E53" i="2" s="1"/>
  <c r="E19" i="3"/>
  <c r="E21" i="3" s="1"/>
  <c r="E51" i="3" s="1"/>
  <c r="G31" i="14"/>
  <c r="E285" i="16"/>
  <c r="G285" i="16"/>
  <c r="I285" i="16" s="1"/>
  <c r="E14" i="2"/>
  <c r="F31" i="14"/>
  <c r="D8" i="3"/>
  <c r="F15" i="2"/>
  <c r="F23" i="2" s="1"/>
  <c r="G15" i="2"/>
  <c r="G23" i="2" s="1"/>
  <c r="D55" i="2"/>
  <c r="G272" i="16"/>
  <c r="I273" i="16"/>
  <c r="E272" i="16"/>
  <c r="D40" i="15" l="1"/>
  <c r="D58" i="2"/>
  <c r="C57" i="2"/>
  <c r="C58" i="2" s="1"/>
  <c r="C14" i="3"/>
  <c r="C15" i="3" s="1"/>
  <c r="E15" i="2"/>
  <c r="E23" i="2" s="1"/>
  <c r="B14" i="3"/>
  <c r="B15" i="3" s="1"/>
  <c r="D4" i="15" s="1"/>
  <c r="C15" i="2"/>
  <c r="C23" i="2" s="1"/>
  <c r="B57" i="2"/>
  <c r="B58" i="2" s="1"/>
  <c r="I215" i="16"/>
  <c r="H216" i="16"/>
  <c r="I216" i="16" s="1"/>
  <c r="H15" i="2"/>
  <c r="H23" i="2" s="1"/>
  <c r="E14" i="3"/>
  <c r="E15" i="3" s="1"/>
  <c r="E57" i="2"/>
  <c r="E58" i="2" s="1"/>
  <c r="I272" i="16"/>
  <c r="G286" i="16"/>
  <c r="I286" i="16" s="1"/>
  <c r="D33" i="15"/>
  <c r="D15" i="3"/>
  <c r="D39" i="15" l="1"/>
  <c r="E50" i="3"/>
  <c r="E52" i="3" s="1"/>
  <c r="E23" i="3"/>
  <c r="B23" i="3"/>
  <c r="B50" i="3"/>
  <c r="B52" i="3" s="1"/>
  <c r="C50" i="3"/>
  <c r="C52" i="3" s="1"/>
  <c r="C23" i="3"/>
  <c r="D50" i="3"/>
  <c r="D52" i="3" s="1"/>
  <c r="D23" i="3"/>
  <c r="D5" i="15"/>
  <c r="E10" i="15" l="1"/>
  <c r="E20" i="15"/>
  <c r="E23" i="15"/>
  <c r="E13" i="15"/>
</calcChain>
</file>

<file path=xl/sharedStrings.xml><?xml version="1.0" encoding="utf-8"?>
<sst xmlns="http://schemas.openxmlformats.org/spreadsheetml/2006/main" count="3001" uniqueCount="613">
  <si>
    <t>Scope 1: Directe emissies</t>
  </si>
  <si>
    <t>Gasverbruik</t>
  </si>
  <si>
    <t>Lasgas verbruiken</t>
  </si>
  <si>
    <t>Totaal scope 1</t>
  </si>
  <si>
    <t>Scope 2: Indirecte emissies</t>
  </si>
  <si>
    <t>Personenvervoer</t>
  </si>
  <si>
    <t>Openbaar vervoer</t>
  </si>
  <si>
    <t>Totaal scope 2</t>
  </si>
  <si>
    <t>Afvalverwerking</t>
  </si>
  <si>
    <t>Woon-Werkverkeer</t>
  </si>
  <si>
    <t>Brandstof leaseauto's</t>
  </si>
  <si>
    <t>Aspen verbruik</t>
  </si>
  <si>
    <t>Biomassa</t>
  </si>
  <si>
    <t>Scope 1</t>
  </si>
  <si>
    <t>Diesel</t>
  </si>
  <si>
    <t>Benzine</t>
  </si>
  <si>
    <t>LPG</t>
  </si>
  <si>
    <t>Soort</t>
  </si>
  <si>
    <t>1e helft</t>
  </si>
  <si>
    <t>2e helft</t>
  </si>
  <si>
    <t>Eenheid</t>
  </si>
  <si>
    <t>liter</t>
  </si>
  <si>
    <t>Elektraverbruik</t>
  </si>
  <si>
    <t>kWh</t>
  </si>
  <si>
    <t>km</t>
  </si>
  <si>
    <t>ton</t>
  </si>
  <si>
    <t>Grijs</t>
  </si>
  <si>
    <t>Nederlands</t>
  </si>
  <si>
    <t>Wind</t>
  </si>
  <si>
    <t>Zonne energie</t>
  </si>
  <si>
    <t>Water</t>
  </si>
  <si>
    <t>Totaal</t>
  </si>
  <si>
    <t>Datum:</t>
  </si>
  <si>
    <t>Versie:</t>
  </si>
  <si>
    <t>Elektriciteit</t>
  </si>
  <si>
    <t>Gas</t>
  </si>
  <si>
    <t>CO2emmissiefactoren.nl</t>
  </si>
  <si>
    <t>Aspen Zweden juli 2010</t>
  </si>
  <si>
    <t>Aspen</t>
  </si>
  <si>
    <t>SGS Intron Certification</t>
  </si>
  <si>
    <t>zie tabblad lasgasbepaling</t>
  </si>
  <si>
    <t>Buitenlandse oorsprong</t>
  </si>
  <si>
    <t>Nederlandse oorsprong</t>
  </si>
  <si>
    <t>Oorspong</t>
  </si>
  <si>
    <t>Buitenlands</t>
  </si>
  <si>
    <t>Internationaal</t>
  </si>
  <si>
    <t>Trein</t>
  </si>
  <si>
    <t>Onbekend</t>
  </si>
  <si>
    <t>Stoptrein</t>
  </si>
  <si>
    <t>Intercity</t>
  </si>
  <si>
    <t>Bus</t>
  </si>
  <si>
    <t>Streekbus</t>
  </si>
  <si>
    <t>Stadsbus</t>
  </si>
  <si>
    <t>Elektrisch</t>
  </si>
  <si>
    <t>Metro</t>
  </si>
  <si>
    <t>Tram</t>
  </si>
  <si>
    <t>Auto</t>
  </si>
  <si>
    <t>Brommer</t>
  </si>
  <si>
    <t>Fiets</t>
  </si>
  <si>
    <t>Scope 3 Upstream</t>
  </si>
  <si>
    <t>Opmerking</t>
  </si>
  <si>
    <t>Uitgegaan van middel</t>
  </si>
  <si>
    <t>Scope 2: Elektriciteit</t>
  </si>
  <si>
    <t>Benaming</t>
  </si>
  <si>
    <t>Bron</t>
  </si>
  <si>
    <t>Scope 3 Downstream</t>
  </si>
  <si>
    <t>A-hout</t>
  </si>
  <si>
    <t>Verbranding</t>
  </si>
  <si>
    <t>Recycling</t>
  </si>
  <si>
    <t>Asfalt</t>
  </si>
  <si>
    <t>Thermische Reiniging</t>
  </si>
  <si>
    <t>Autobanden</t>
  </si>
  <si>
    <t>BA</t>
  </si>
  <si>
    <t>ASI</t>
  </si>
  <si>
    <t>Korrelmix (granulaat)</t>
  </si>
  <si>
    <t>B-Hout</t>
  </si>
  <si>
    <t>BSA</t>
  </si>
  <si>
    <t>C-hout</t>
  </si>
  <si>
    <t>Dakafval</t>
  </si>
  <si>
    <t>Thermische Verwerking</t>
  </si>
  <si>
    <t>Folie</t>
  </si>
  <si>
    <t>GFT</t>
  </si>
  <si>
    <t>Compostering</t>
  </si>
  <si>
    <t>Gips</t>
  </si>
  <si>
    <t>Glas</t>
  </si>
  <si>
    <t>Grond</t>
  </si>
  <si>
    <t>Reiniging</t>
  </si>
  <si>
    <t>Hout</t>
  </si>
  <si>
    <t>Huishoudelijk afval</t>
  </si>
  <si>
    <t>Ijzer</t>
  </si>
  <si>
    <t>Kunststoffen</t>
  </si>
  <si>
    <t>Non Ferro</t>
  </si>
  <si>
    <t>Organisch afval</t>
  </si>
  <si>
    <t>Vergisting</t>
  </si>
  <si>
    <t>Papier en karton</t>
  </si>
  <si>
    <t>Puin</t>
  </si>
  <si>
    <t>Straalmidel</t>
  </si>
  <si>
    <t>Swill</t>
  </si>
  <si>
    <t>Textiel</t>
  </si>
  <si>
    <t>Overige stromen</t>
  </si>
  <si>
    <t>onbekend</t>
  </si>
  <si>
    <t>Broeikasgasemissies- Directe en vermeden emissies</t>
  </si>
  <si>
    <t>Doeltreffend Afvalsturen</t>
  </si>
  <si>
    <t>CO2-kentallen afvalscheiding</t>
  </si>
  <si>
    <t xml:space="preserve">website gipsrecycling </t>
  </si>
  <si>
    <t>Royal Haskoning</t>
  </si>
  <si>
    <t>Erasmus Universiteit Rotterdam</t>
  </si>
  <si>
    <t>CE Delft</t>
  </si>
  <si>
    <t>website gipsrecycling.nl</t>
  </si>
  <si>
    <t>Zeefzand</t>
  </si>
  <si>
    <t>Ferro</t>
  </si>
  <si>
    <t>Non-ferro</t>
  </si>
  <si>
    <t>Residu</t>
  </si>
  <si>
    <t>Berekening verwerking in de ASI</t>
  </si>
  <si>
    <t>Onderverdeling</t>
  </si>
  <si>
    <t>Eigen materieel</t>
  </si>
  <si>
    <t>Brandstofverbruik</t>
  </si>
  <si>
    <t>Scope overzicht jaarlijks absolute gegevens</t>
  </si>
  <si>
    <t>Eeheid</t>
  </si>
  <si>
    <r>
      <t>m</t>
    </r>
    <r>
      <rPr>
        <vertAlign val="superscript"/>
        <sz val="9"/>
        <color rgb="FF0070C0"/>
        <rFont val="Arial"/>
        <family val="2"/>
      </rPr>
      <t>3</t>
    </r>
  </si>
  <si>
    <t>Ad Blue</t>
  </si>
  <si>
    <t>Ad Blue verbruik</t>
  </si>
  <si>
    <t>3.1</t>
  </si>
  <si>
    <t>GLC/Propaan</t>
  </si>
  <si>
    <t>Lasgas equivalenten</t>
  </si>
  <si>
    <t>Liter lasgas</t>
  </si>
  <si>
    <t>Druk (Pascal)</t>
  </si>
  <si>
    <t>Bar</t>
  </si>
  <si>
    <t>Groengas</t>
  </si>
  <si>
    <t>Waterstof</t>
  </si>
  <si>
    <t>2022-1</t>
  </si>
  <si>
    <t>2022-2</t>
  </si>
  <si>
    <t>SCOPE 1</t>
  </si>
  <si>
    <t>SCOPE 2</t>
  </si>
  <si>
    <r>
      <t>m</t>
    </r>
    <r>
      <rPr>
        <vertAlign val="superscript"/>
        <sz val="8"/>
        <color rgb="FF0070C0"/>
        <rFont val="Arial"/>
        <family val="2"/>
      </rPr>
      <t>3</t>
    </r>
  </si>
  <si>
    <r>
      <t>ton CO</t>
    </r>
    <r>
      <rPr>
        <vertAlign val="subscript"/>
        <sz val="8"/>
        <color rgb="FF0070C0"/>
        <rFont val="Arial"/>
        <family val="2"/>
      </rPr>
      <t>2</t>
    </r>
  </si>
  <si>
    <r>
      <t>ton CO</t>
    </r>
    <r>
      <rPr>
        <b/>
        <vertAlign val="subscript"/>
        <sz val="8"/>
        <color rgb="FF0070C0"/>
        <rFont val="Arial"/>
        <family val="2"/>
      </rPr>
      <t>2</t>
    </r>
  </si>
  <si>
    <t>Scope 2</t>
  </si>
  <si>
    <t xml:space="preserve">Nederlandse </t>
  </si>
  <si>
    <t>oorsprong</t>
  </si>
  <si>
    <t>Buitenlandse</t>
  </si>
  <si>
    <t>Zon</t>
  </si>
  <si>
    <t>Internat.</t>
  </si>
  <si>
    <t>A-hout-Biomassa</t>
  </si>
  <si>
    <t>A-hout-Verbranding</t>
  </si>
  <si>
    <t>A-hout-Recycling</t>
  </si>
  <si>
    <t>Asfalt-Thermische Reiniging</t>
  </si>
  <si>
    <t>Autobanden-Recycling</t>
  </si>
  <si>
    <t>BA-ASI</t>
  </si>
  <si>
    <t>BA-Korrelmix (granulaat)</t>
  </si>
  <si>
    <t>BA-Verbranding</t>
  </si>
  <si>
    <t>B-Hout-Verbranding</t>
  </si>
  <si>
    <t>BSA-ASI</t>
  </si>
  <si>
    <t>BSA-Verbranding</t>
  </si>
  <si>
    <t>C-hout-Verbranding</t>
  </si>
  <si>
    <t>Dakafval-Thermische Verwerking</t>
  </si>
  <si>
    <t>Folie-Recycling</t>
  </si>
  <si>
    <t>GFT-Compostering</t>
  </si>
  <si>
    <t>Gips-Recycling</t>
  </si>
  <si>
    <t>Glas-Recycling</t>
  </si>
  <si>
    <t>Grond-Reiniging</t>
  </si>
  <si>
    <t>Hout-Recycling</t>
  </si>
  <si>
    <t>Huishoudelijk afval-Verbranding</t>
  </si>
  <si>
    <t>Ijzer-Recycling</t>
  </si>
  <si>
    <t>Kunststoffen-Recycling</t>
  </si>
  <si>
    <t>Non Ferro-Recycling</t>
  </si>
  <si>
    <t>Organisch afval-Compostering</t>
  </si>
  <si>
    <t>Organisch afval-Vergisting</t>
  </si>
  <si>
    <t>Papier en karton-Recycling</t>
  </si>
  <si>
    <t>Puin-Korrelmix (granulaat)</t>
  </si>
  <si>
    <t>Straalmidel-Recycling</t>
  </si>
  <si>
    <t>Swill-Vergisting</t>
  </si>
  <si>
    <t>Textiel-Recycling</t>
  </si>
  <si>
    <t>Overige stromen-onbekend</t>
  </si>
  <si>
    <t>Absolute verbruiken</t>
  </si>
  <si>
    <t>Woon-werkverkeer</t>
  </si>
  <si>
    <r>
      <t>Scope overzicht jaarlijks (in ton CO</t>
    </r>
    <r>
      <rPr>
        <b/>
        <vertAlign val="subscript"/>
        <sz val="12"/>
        <color rgb="FF0070C0"/>
        <rFont val="Arial"/>
        <family val="2"/>
      </rPr>
      <t>2</t>
    </r>
    <r>
      <rPr>
        <b/>
        <sz val="12"/>
        <color rgb="FF0070C0"/>
        <rFont val="Arial"/>
        <family val="2"/>
      </rPr>
      <t>)</t>
    </r>
  </si>
  <si>
    <r>
      <t>Scope overzicht halfjaarlijks (in ton CO</t>
    </r>
    <r>
      <rPr>
        <b/>
        <vertAlign val="subscript"/>
        <sz val="12"/>
        <color rgb="FF0070C0"/>
        <rFont val="Arial"/>
        <family val="2"/>
      </rPr>
      <t>2</t>
    </r>
    <r>
      <rPr>
        <b/>
        <sz val="12"/>
        <color rgb="FF0070C0"/>
        <rFont val="Arial"/>
        <family val="2"/>
      </rPr>
      <t>)</t>
    </r>
  </si>
  <si>
    <r>
      <t>CO</t>
    </r>
    <r>
      <rPr>
        <vertAlign val="subscript"/>
        <sz val="12"/>
        <color rgb="FF0070C0"/>
        <rFont val="Arial"/>
        <family val="2"/>
      </rPr>
      <t>2</t>
    </r>
    <r>
      <rPr>
        <sz val="12"/>
        <color rgb="FF0070C0"/>
        <rFont val="Arial"/>
        <family val="2"/>
      </rPr>
      <t xml:space="preserve"> uitstoot verbruiken</t>
    </r>
  </si>
  <si>
    <t>Aluminium</t>
  </si>
  <si>
    <r>
      <t>ton CO</t>
    </r>
    <r>
      <rPr>
        <vertAlign val="subscript"/>
        <sz val="9"/>
        <color rgb="FF0070C0"/>
        <rFont val="Arial"/>
        <family val="2"/>
      </rPr>
      <t>2</t>
    </r>
    <r>
      <rPr>
        <sz val="9"/>
        <color rgb="FF0070C0"/>
        <rFont val="Arial"/>
        <family val="2"/>
      </rPr>
      <t>/m3</t>
    </r>
  </si>
  <si>
    <r>
      <t>ton CO</t>
    </r>
    <r>
      <rPr>
        <vertAlign val="subscript"/>
        <sz val="9"/>
        <color rgb="FF0070C0"/>
        <rFont val="Arial"/>
        <family val="2"/>
      </rPr>
      <t>2</t>
    </r>
    <r>
      <rPr>
        <sz val="9"/>
        <color rgb="FF0070C0"/>
        <rFont val="Arial"/>
        <family val="2"/>
      </rPr>
      <t>/liter</t>
    </r>
  </si>
  <si>
    <r>
      <t>ton CO</t>
    </r>
    <r>
      <rPr>
        <vertAlign val="subscript"/>
        <sz val="9"/>
        <color rgb="FF0070C0"/>
        <rFont val="Arial"/>
        <family val="2"/>
      </rPr>
      <t>2</t>
    </r>
    <r>
      <rPr>
        <sz val="9"/>
        <color rgb="FF0070C0"/>
        <rFont val="Arial"/>
        <family val="2"/>
      </rPr>
      <t>/kWh</t>
    </r>
  </si>
  <si>
    <r>
      <t>ton CO</t>
    </r>
    <r>
      <rPr>
        <vertAlign val="subscript"/>
        <sz val="9"/>
        <color rgb="FF0070C0"/>
        <rFont val="Arial"/>
        <family val="2"/>
      </rPr>
      <t>2</t>
    </r>
    <r>
      <rPr>
        <sz val="9"/>
        <color rgb="FF0070C0"/>
        <rFont val="Arial"/>
        <family val="2"/>
      </rPr>
      <t>/ km</t>
    </r>
  </si>
  <si>
    <r>
      <t>ton CO</t>
    </r>
    <r>
      <rPr>
        <vertAlign val="subscript"/>
        <sz val="9"/>
        <color rgb="FF0070C0"/>
        <rFont val="Arial"/>
        <family val="2"/>
      </rPr>
      <t>2</t>
    </r>
    <r>
      <rPr>
        <sz val="9"/>
        <color rgb="FF0070C0"/>
        <rFont val="Arial"/>
        <family val="2"/>
      </rPr>
      <t xml:space="preserve"> / ton</t>
    </r>
  </si>
  <si>
    <t>Kabel</t>
  </si>
  <si>
    <t>Koper</t>
  </si>
  <si>
    <t>RVS</t>
  </si>
  <si>
    <t>Aluminium-Recycling</t>
  </si>
  <si>
    <t>Kabel-Recycling</t>
  </si>
  <si>
    <t>Koper-Recycling</t>
  </si>
  <si>
    <t>RVS-Recycling</t>
  </si>
  <si>
    <t>2023-1</t>
  </si>
  <si>
    <t>2023-2</t>
  </si>
  <si>
    <r>
      <t>ton CO</t>
    </r>
    <r>
      <rPr>
        <vertAlign val="subscript"/>
        <sz val="8"/>
        <color rgb="FF0070C0"/>
        <rFont val="Arial"/>
        <family val="2"/>
      </rPr>
      <t>2</t>
    </r>
    <r>
      <rPr>
        <sz val="12"/>
        <color theme="1"/>
        <rFont val="Calibri"/>
        <family val="2"/>
        <scheme val="minor"/>
      </rPr>
      <t/>
    </r>
  </si>
  <si>
    <t>Oxygen Cy-L reg 50-200</t>
  </si>
  <si>
    <t>Acetyleen Cyl Altrop 50/200</t>
  </si>
  <si>
    <t>Arcal Chrone Cy-L Smartop 50/200</t>
  </si>
  <si>
    <t>Arcal Prime Cy-L Smartop 50/200</t>
  </si>
  <si>
    <t>Argon N46 Cy-L reg 50/200</t>
  </si>
  <si>
    <t>Atal 15 % Cy-L reg 50/200</t>
  </si>
  <si>
    <t>Atal 15 % Bd-L V16*50/200</t>
  </si>
  <si>
    <t>Atal 20 %</t>
  </si>
  <si>
    <t>Flamal 29 Cy-L reg 84/99-</t>
  </si>
  <si>
    <t>Nitrogen N50 Cy-L reg 50/200</t>
  </si>
  <si>
    <t>Aphagaz 1 Nitrogen Cy-L Smartop 50/200</t>
  </si>
  <si>
    <r>
      <t>Volume CO</t>
    </r>
    <r>
      <rPr>
        <vertAlign val="subscript"/>
        <sz val="11"/>
        <color rgb="FF0070C0"/>
        <rFont val="Arial"/>
        <family val="2"/>
      </rPr>
      <t>2</t>
    </r>
  </si>
  <si>
    <t>N</t>
  </si>
  <si>
    <t>Molgewicht</t>
  </si>
  <si>
    <t>Las gas</t>
  </si>
  <si>
    <r>
      <t>CO</t>
    </r>
    <r>
      <rPr>
        <vertAlign val="subscript"/>
        <sz val="11"/>
        <color rgb="FF0070C0"/>
        <rFont val="Arial"/>
        <family val="2"/>
      </rPr>
      <t>2</t>
    </r>
    <r>
      <rPr>
        <sz val="11"/>
        <color rgb="FF0070C0"/>
        <rFont val="Arial"/>
        <family val="2"/>
      </rPr>
      <t xml:space="preserve"> %</t>
    </r>
  </si>
  <si>
    <t>Volume (m3)</t>
  </si>
  <si>
    <t>R</t>
  </si>
  <si>
    <t>T</t>
  </si>
  <si>
    <t>PV/RT</t>
  </si>
  <si>
    <r>
      <t>CO</t>
    </r>
    <r>
      <rPr>
        <vertAlign val="subscript"/>
        <sz val="11"/>
        <color rgb="FF0070C0"/>
        <rFont val="Arial"/>
        <family val="2"/>
      </rPr>
      <t>2</t>
    </r>
  </si>
  <si>
    <t>Conversie factor</t>
  </si>
  <si>
    <t>Equivalent</t>
  </si>
  <si>
    <t>Referentiejaar</t>
  </si>
  <si>
    <t>Bepaling grootte</t>
  </si>
  <si>
    <t>Gas, Water en elektra</t>
  </si>
  <si>
    <t>Leaseauto's en woonwerk-verkeer</t>
  </si>
  <si>
    <t>Zakelijke vliegreizen</t>
  </si>
  <si>
    <r>
      <t>ton CO</t>
    </r>
    <r>
      <rPr>
        <vertAlign val="subscript"/>
        <sz val="11"/>
        <color rgb="FF0070C0"/>
        <rFont val="Arial"/>
        <family val="2"/>
      </rPr>
      <t>2</t>
    </r>
    <r>
      <rPr>
        <sz val="11"/>
        <color rgb="FF0070C0"/>
        <rFont val="Arial"/>
        <family val="2"/>
      </rPr>
      <t>/liter</t>
    </r>
  </si>
  <si>
    <t>1 kg = 2 liter</t>
  </si>
  <si>
    <t>Lasgassen (incl. GLC/Propaan)</t>
  </si>
  <si>
    <t>Scope 1 en 2 emissies</t>
  </si>
  <si>
    <r>
      <t xml:space="preserve"> ton CO</t>
    </r>
    <r>
      <rPr>
        <vertAlign val="subscript"/>
        <sz val="12"/>
        <color rgb="FF0070C0"/>
        <rFont val="Arial"/>
        <family val="2"/>
      </rPr>
      <t>2</t>
    </r>
  </si>
  <si>
    <t>Ad-Blue verbruik</t>
  </si>
  <si>
    <t>Leaseauto's</t>
  </si>
  <si>
    <t>2024-1</t>
  </si>
  <si>
    <t>2024-2</t>
  </si>
  <si>
    <t>2025-1</t>
  </si>
  <si>
    <t>2025-2</t>
  </si>
  <si>
    <t>2026-1</t>
  </si>
  <si>
    <t>2026-2</t>
  </si>
  <si>
    <t>2027-1</t>
  </si>
  <si>
    <t>2027-2</t>
  </si>
  <si>
    <t>2028-1</t>
  </si>
  <si>
    <t>2028-2</t>
  </si>
  <si>
    <t>2029-1</t>
  </si>
  <si>
    <t>2029-2</t>
  </si>
  <si>
    <t>2030-1</t>
  </si>
  <si>
    <t>2030-2</t>
  </si>
  <si>
    <t>2031-1</t>
  </si>
  <si>
    <t>2031-2</t>
  </si>
  <si>
    <t>B7</t>
  </si>
  <si>
    <t>E10</t>
  </si>
  <si>
    <t>gasverbruik</t>
  </si>
  <si>
    <r>
      <t>m</t>
    </r>
    <r>
      <rPr>
        <vertAlign val="superscript"/>
        <sz val="11"/>
        <color rgb="FF0724C6"/>
        <rFont val="Arial"/>
        <family val="2"/>
      </rPr>
      <t>3</t>
    </r>
  </si>
  <si>
    <t>transportverbruiken</t>
  </si>
  <si>
    <t>Lease auto</t>
  </si>
  <si>
    <t>Ad-blue Aspen</t>
  </si>
  <si>
    <t>4.5</t>
  </si>
  <si>
    <t>Lasgassen</t>
  </si>
  <si>
    <t>Argon</t>
  </si>
  <si>
    <t>flessen</t>
  </si>
  <si>
    <t>Helistar</t>
  </si>
  <si>
    <t>Lucht</t>
  </si>
  <si>
    <t>Sanarc</t>
  </si>
  <si>
    <t>Stargon</t>
  </si>
  <si>
    <t>Stikstof</t>
  </si>
  <si>
    <t>Zuurstof</t>
  </si>
  <si>
    <t>4.6</t>
  </si>
  <si>
    <t>Propaan</t>
  </si>
  <si>
    <t>Elektra</t>
  </si>
  <si>
    <t>LEADIE</t>
  </si>
  <si>
    <t>LEABEN</t>
  </si>
  <si>
    <t>LEALPG</t>
  </si>
  <si>
    <t>ADBL</t>
  </si>
  <si>
    <t>ASP</t>
  </si>
  <si>
    <t>ELEZON</t>
  </si>
  <si>
    <t>Totaal scope 1 en scope 2</t>
  </si>
  <si>
    <t>Afvalstromen</t>
  </si>
  <si>
    <t>Papier/karton</t>
  </si>
  <si>
    <t>BSAASI</t>
  </si>
  <si>
    <t>DAKTHE</t>
  </si>
  <si>
    <t>FOLREC</t>
  </si>
  <si>
    <t>GIPREC</t>
  </si>
  <si>
    <t>GLAREC</t>
  </si>
  <si>
    <t>HOUREC</t>
  </si>
  <si>
    <t>PAPREC</t>
  </si>
  <si>
    <t>PUIKOR</t>
  </si>
  <si>
    <t>GLC/propaan</t>
  </si>
  <si>
    <t>Scope 2 emissies</t>
  </si>
  <si>
    <t>Scope 1 emissies</t>
  </si>
  <si>
    <t>Scope 3 emissies</t>
  </si>
  <si>
    <t>m3</t>
  </si>
  <si>
    <t>fles</t>
  </si>
  <si>
    <t>n.v.t</t>
  </si>
  <si>
    <t>CO2 equivalent</t>
  </si>
  <si>
    <t>GASTOT</t>
  </si>
  <si>
    <t>WERTOT</t>
  </si>
  <si>
    <t>Leaseautos</t>
  </si>
  <si>
    <t>LEATOT</t>
  </si>
  <si>
    <t>LASTOT</t>
  </si>
  <si>
    <t>GLC</t>
  </si>
  <si>
    <t>BIO</t>
  </si>
  <si>
    <t>ELETOT</t>
  </si>
  <si>
    <t>WWVTOT</t>
  </si>
  <si>
    <t>AFVTOT</t>
  </si>
  <si>
    <t>GLCTOT</t>
  </si>
  <si>
    <t>BIOTOT</t>
  </si>
  <si>
    <t>OPETOT</t>
  </si>
  <si>
    <t>PERTOT</t>
  </si>
  <si>
    <t>GAS</t>
  </si>
  <si>
    <t>DIE</t>
  </si>
  <si>
    <t>Lease Auto</t>
  </si>
  <si>
    <t>BEN</t>
  </si>
  <si>
    <t>n.v.t.</t>
  </si>
  <si>
    <t>WWVONB</t>
  </si>
  <si>
    <t>OXY</t>
  </si>
  <si>
    <t>ACE</t>
  </si>
  <si>
    <t>ARC</t>
  </si>
  <si>
    <t>ARG</t>
  </si>
  <si>
    <t>ATA</t>
  </si>
  <si>
    <t>ARC1</t>
  </si>
  <si>
    <t>ATA2</t>
  </si>
  <si>
    <t>ATA1</t>
  </si>
  <si>
    <t>FLA</t>
  </si>
  <si>
    <t>NIT</t>
  </si>
  <si>
    <t>APH</t>
  </si>
  <si>
    <t>ELEGRI</t>
  </si>
  <si>
    <t>ELEWAT</t>
  </si>
  <si>
    <t>ELEWIN</t>
  </si>
  <si>
    <t>ELEBIO</t>
  </si>
  <si>
    <t>BUIGRI</t>
  </si>
  <si>
    <t>BUIWAT</t>
  </si>
  <si>
    <t>BUIWIN</t>
  </si>
  <si>
    <t>BUIZON</t>
  </si>
  <si>
    <t>BUIBIO</t>
  </si>
  <si>
    <t>WWVBEN</t>
  </si>
  <si>
    <t>WWVDIE</t>
  </si>
  <si>
    <t>WWVLPG</t>
  </si>
  <si>
    <t>BRO</t>
  </si>
  <si>
    <t>FIEONB</t>
  </si>
  <si>
    <t>FIEELE</t>
  </si>
  <si>
    <t>bro</t>
  </si>
  <si>
    <t>fieonb</t>
  </si>
  <si>
    <t>fieele</t>
  </si>
  <si>
    <t>AUTONB</t>
  </si>
  <si>
    <t>AUTBEN</t>
  </si>
  <si>
    <t>AUTDIE</t>
  </si>
  <si>
    <t>AUTLPG</t>
  </si>
  <si>
    <t>TRIonb</t>
  </si>
  <si>
    <t>tridie</t>
  </si>
  <si>
    <t>tristo</t>
  </si>
  <si>
    <t>triinc</t>
  </si>
  <si>
    <t>triint</t>
  </si>
  <si>
    <t>busonb</t>
  </si>
  <si>
    <t>busstr</t>
  </si>
  <si>
    <t>bussta</t>
  </si>
  <si>
    <t>busele</t>
  </si>
  <si>
    <t>metele</t>
  </si>
  <si>
    <t>traele</t>
  </si>
  <si>
    <t>AHOBIO</t>
  </si>
  <si>
    <t>AHOVER</t>
  </si>
  <si>
    <t>AHOREC</t>
  </si>
  <si>
    <t>ALUREC</t>
  </si>
  <si>
    <t>ASFTHE</t>
  </si>
  <si>
    <t>AUTREC</t>
  </si>
  <si>
    <t>BAASI</t>
  </si>
  <si>
    <t>BAKOR</t>
  </si>
  <si>
    <t>BAVER</t>
  </si>
  <si>
    <t>BHOVER</t>
  </si>
  <si>
    <t>CHOVER</t>
  </si>
  <si>
    <t>GFTCOM</t>
  </si>
  <si>
    <t>GROREI</t>
  </si>
  <si>
    <t>HUIVER</t>
  </si>
  <si>
    <t>IJZREC</t>
  </si>
  <si>
    <t>KABREC</t>
  </si>
  <si>
    <t>KOPREC</t>
  </si>
  <si>
    <t>KUNREC</t>
  </si>
  <si>
    <t>NONREC</t>
  </si>
  <si>
    <t>ORGCOM</t>
  </si>
  <si>
    <t>ORGVER</t>
  </si>
  <si>
    <t>RVSREC</t>
  </si>
  <si>
    <t>STRREC</t>
  </si>
  <si>
    <t>SWIVER</t>
  </si>
  <si>
    <t>TEXREC</t>
  </si>
  <si>
    <t>OVEONB</t>
  </si>
  <si>
    <t>CODE</t>
  </si>
  <si>
    <t>CO2</t>
  </si>
  <si>
    <t>ALLES</t>
  </si>
  <si>
    <t>TRIONB</t>
  </si>
  <si>
    <t>TRIDIE</t>
  </si>
  <si>
    <t>TRIINC</t>
  </si>
  <si>
    <t>TRIINT</t>
  </si>
  <si>
    <t>BUSONB</t>
  </si>
  <si>
    <t>BUSSTR</t>
  </si>
  <si>
    <t>BUSSTA</t>
  </si>
  <si>
    <t>BUSELE</t>
  </si>
  <si>
    <t>METELE</t>
  </si>
  <si>
    <t>TRAELE</t>
  </si>
  <si>
    <t>TRIELE</t>
  </si>
  <si>
    <t>TRIEINT</t>
  </si>
  <si>
    <t>BUSDIE</t>
  </si>
  <si>
    <t>BUSGRO</t>
  </si>
  <si>
    <t>BUSWAT</t>
  </si>
  <si>
    <t>BSAVER</t>
  </si>
  <si>
    <t>Overig</t>
  </si>
  <si>
    <t>*1</t>
  </si>
  <si>
    <t>Totaal leaseauto</t>
  </si>
  <si>
    <t>HVO</t>
  </si>
  <si>
    <t>VRAHVO</t>
  </si>
  <si>
    <t>VRABEN</t>
  </si>
  <si>
    <t>VRADIE</t>
  </si>
  <si>
    <t>VRALPG</t>
  </si>
  <si>
    <t>VRADIE1</t>
  </si>
  <si>
    <t>VRADIE2</t>
  </si>
  <si>
    <t>VRADIE3</t>
  </si>
  <si>
    <t>VRADIE4</t>
  </si>
  <si>
    <t>VRATOT</t>
  </si>
  <si>
    <t>totaal diesel</t>
  </si>
  <si>
    <t>DIETOT</t>
  </si>
  <si>
    <t>VRADIE5</t>
  </si>
  <si>
    <t>Vrachtwagens</t>
  </si>
  <si>
    <t>en materieel</t>
  </si>
  <si>
    <t>LEAELE</t>
  </si>
  <si>
    <t>ELE</t>
  </si>
  <si>
    <t>Totaal Vrachtwagens en Materieel</t>
  </si>
  <si>
    <t>Brandstofverbruik Vrachtwagens en materieel</t>
  </si>
  <si>
    <t>Teruggeleverd</t>
  </si>
  <si>
    <t>Eigen verbruik</t>
  </si>
  <si>
    <t>EIGOPW</t>
  </si>
  <si>
    <t>EIGTL</t>
  </si>
  <si>
    <t>EIGVER</t>
  </si>
  <si>
    <t>EIGOPW1</t>
  </si>
  <si>
    <t>EIGTL1</t>
  </si>
  <si>
    <t>EIGVER1</t>
  </si>
  <si>
    <t>Eigen opwekking</t>
  </si>
  <si>
    <t>Teruglevering</t>
  </si>
  <si>
    <t>Eigenverbruik</t>
  </si>
  <si>
    <t>Kantoren en bedrijsruimten</t>
  </si>
  <si>
    <t>Totaal Kantoren en bedrijfsruimten</t>
  </si>
  <si>
    <t>Projectlocaties/bouwlocaties</t>
  </si>
  <si>
    <t>Eigen materieel (incl. Ad Blue en Aspen)</t>
  </si>
  <si>
    <t>Totaal Projectlocaties/bouwlocaties</t>
  </si>
  <si>
    <t>Leaseauto elektrisch</t>
  </si>
  <si>
    <t>Scope 3:</t>
  </si>
  <si>
    <t>Upstream</t>
  </si>
  <si>
    <t>Downstream</t>
  </si>
  <si>
    <t>Aangekochte diensten en goederen</t>
  </si>
  <si>
    <t>Kapitaalgoederen</t>
  </si>
  <si>
    <t>Brandstof en energiegerelateerde activiteiten</t>
  </si>
  <si>
    <t>Productieafval</t>
  </si>
  <si>
    <t>Transport en distributie</t>
  </si>
  <si>
    <t>Ver- of bewerken van verkochte producten</t>
  </si>
  <si>
    <t>Geleaste activa</t>
  </si>
  <si>
    <t>Franchisehouders</t>
  </si>
  <si>
    <t>Investeringen</t>
  </si>
  <si>
    <t>Totaal  Downstream</t>
  </si>
  <si>
    <t>Totaal  Upstream</t>
  </si>
  <si>
    <t>Totaal Upstream en Downstream</t>
  </si>
  <si>
    <t xml:space="preserve">Scope 3: </t>
  </si>
  <si>
    <t>Totaal Upstream</t>
  </si>
  <si>
    <t>Totaal Downstream</t>
  </si>
  <si>
    <t>Aangekochte goederen en diensten</t>
  </si>
  <si>
    <t>Brandstof en energie-gerelateerde activiteiten</t>
  </si>
  <si>
    <t>Geleaste Activa</t>
  </si>
  <si>
    <t>Gebruik van verkochte producten</t>
  </si>
  <si>
    <t>End-of-life van verkochte producten</t>
  </si>
  <si>
    <t>End-of-life verwerking van verkochte producten</t>
  </si>
  <si>
    <r>
      <t>ton CO</t>
    </r>
    <r>
      <rPr>
        <i/>
        <vertAlign val="subscript"/>
        <sz val="8"/>
        <color rgb="FF0070C0"/>
        <rFont val="Arial"/>
        <family val="2"/>
      </rPr>
      <t>2</t>
    </r>
  </si>
  <si>
    <t>busdie</t>
  </si>
  <si>
    <t>SCOPE 3 UPSTREAM</t>
  </si>
  <si>
    <t>Branstof en energie-gerelateerde activiteiten</t>
  </si>
  <si>
    <t>SCOPE 3 DOWNSTREAM</t>
  </si>
  <si>
    <t>SU1TOT</t>
  </si>
  <si>
    <t>SU11</t>
  </si>
  <si>
    <t>SU12</t>
  </si>
  <si>
    <t>SU13</t>
  </si>
  <si>
    <t>SU14</t>
  </si>
  <si>
    <t>SU22</t>
  </si>
  <si>
    <t>SU21</t>
  </si>
  <si>
    <t>SU23</t>
  </si>
  <si>
    <t>SU24</t>
  </si>
  <si>
    <t>SU2TOT</t>
  </si>
  <si>
    <t>SU3TOT</t>
  </si>
  <si>
    <t>SU31</t>
  </si>
  <si>
    <t>SU32</t>
  </si>
  <si>
    <t>SU33</t>
  </si>
  <si>
    <t>SU34</t>
  </si>
  <si>
    <t>SU4TOT</t>
  </si>
  <si>
    <t>SU41</t>
  </si>
  <si>
    <t>SU42</t>
  </si>
  <si>
    <t>SU43</t>
  </si>
  <si>
    <t>SU44</t>
  </si>
  <si>
    <t>SU7TOT</t>
  </si>
  <si>
    <t>SU71</t>
  </si>
  <si>
    <t>SU72</t>
  </si>
  <si>
    <t>SU73</t>
  </si>
  <si>
    <t>SU74</t>
  </si>
  <si>
    <t>SD1TOT</t>
  </si>
  <si>
    <t>SD11</t>
  </si>
  <si>
    <t>SD12</t>
  </si>
  <si>
    <t>SD13</t>
  </si>
  <si>
    <t>SD14</t>
  </si>
  <si>
    <t>SD2TOT</t>
  </si>
  <si>
    <t>SD21</t>
  </si>
  <si>
    <t>SD22</t>
  </si>
  <si>
    <t>SD23</t>
  </si>
  <si>
    <t>SD24</t>
  </si>
  <si>
    <t>SD3TOT</t>
  </si>
  <si>
    <t>SD31</t>
  </si>
  <si>
    <t>SD32</t>
  </si>
  <si>
    <t>SD33</t>
  </si>
  <si>
    <t>SD34</t>
  </si>
  <si>
    <t>SD4TOT</t>
  </si>
  <si>
    <t>SD41</t>
  </si>
  <si>
    <t>SD42</t>
  </si>
  <si>
    <t>SD43</t>
  </si>
  <si>
    <t>SD44</t>
  </si>
  <si>
    <t>SD5TOT</t>
  </si>
  <si>
    <t>SD6TOT</t>
  </si>
  <si>
    <t>SD7TOT</t>
  </si>
  <si>
    <t>Ver- of bewerking van verkochte producten</t>
  </si>
  <si>
    <t>Inversteringen</t>
  </si>
  <si>
    <t>SD51</t>
  </si>
  <si>
    <t>SD52</t>
  </si>
  <si>
    <t>SD53</t>
  </si>
  <si>
    <t>SD54</t>
  </si>
  <si>
    <t>SD61</t>
  </si>
  <si>
    <t>SD62</t>
  </si>
  <si>
    <t>SD63</t>
  </si>
  <si>
    <t>SD64</t>
  </si>
  <si>
    <t>SD71</t>
  </si>
  <si>
    <t>SD72</t>
  </si>
  <si>
    <t>SD73</t>
  </si>
  <si>
    <t>SD74</t>
  </si>
  <si>
    <t>2017-1</t>
  </si>
  <si>
    <t>2017-2</t>
  </si>
  <si>
    <t>2018-1</t>
  </si>
  <si>
    <t>2018-2</t>
  </si>
  <si>
    <t>2019-1</t>
  </si>
  <si>
    <t>2019-2</t>
  </si>
  <si>
    <t>2020-1</t>
  </si>
  <si>
    <t>2020-2</t>
  </si>
  <si>
    <t>2021-1</t>
  </si>
  <si>
    <t>2021-2</t>
  </si>
  <si>
    <t>2032-1</t>
  </si>
  <si>
    <t>2032-2</t>
  </si>
  <si>
    <t>Veilingweg</t>
  </si>
  <si>
    <t>GASVEI</t>
  </si>
  <si>
    <t>Haak/Kabel</t>
  </si>
  <si>
    <t>Portaalarm</t>
  </si>
  <si>
    <t>Opgewekt Veiligweg</t>
  </si>
  <si>
    <t>Opgewekt</t>
  </si>
  <si>
    <t>ELEVEI</t>
  </si>
  <si>
    <t>GASVei</t>
  </si>
  <si>
    <t>Elektraverbruik Veilingweg</t>
  </si>
  <si>
    <t>Auto met vergoeding</t>
  </si>
  <si>
    <t>Auto zonder vergoeding</t>
  </si>
  <si>
    <t>Auto met en</t>
  </si>
  <si>
    <t>zonder vergoeding</t>
  </si>
  <si>
    <t>WWMONB</t>
  </si>
  <si>
    <t>WWZONB</t>
  </si>
  <si>
    <t>Onbekend met reiskosten</t>
  </si>
  <si>
    <t>Onbekend zonder reiskosten</t>
  </si>
  <si>
    <t>Diesel haak/kabel</t>
  </si>
  <si>
    <t>Diesel portaal</t>
  </si>
  <si>
    <t>Diesel overig</t>
  </si>
  <si>
    <t>Elektrische auto</t>
  </si>
  <si>
    <t>Liters</t>
  </si>
  <si>
    <t>Draaiuren</t>
  </si>
  <si>
    <t>Liters per draaiuur</t>
  </si>
  <si>
    <r>
      <t>CO</t>
    </r>
    <r>
      <rPr>
        <vertAlign val="subscript"/>
        <sz val="10"/>
        <color rgb="FF0000CC"/>
        <rFont val="Arial"/>
        <family val="2"/>
      </rPr>
      <t>2</t>
    </r>
    <r>
      <rPr>
        <sz val="10"/>
        <color rgb="FF0000CC"/>
        <rFont val="Arial"/>
        <family val="2"/>
      </rPr>
      <t xml:space="preserve"> uitstoot</t>
    </r>
  </si>
  <si>
    <t>Volvo 1</t>
  </si>
  <si>
    <t>Kilometers</t>
  </si>
  <si>
    <t>Kilometer per liter</t>
  </si>
  <si>
    <t>DAF</t>
  </si>
  <si>
    <t>DAF 13</t>
  </si>
  <si>
    <t>DAF 19</t>
  </si>
  <si>
    <t>Scania</t>
  </si>
  <si>
    <t>DAF 14</t>
  </si>
  <si>
    <t>DAF 4</t>
  </si>
  <si>
    <t>DAF 3</t>
  </si>
  <si>
    <t>Ginaf</t>
  </si>
  <si>
    <t>DAF 1</t>
  </si>
  <si>
    <t>Scania 3</t>
  </si>
  <si>
    <t>Scania 6</t>
  </si>
  <si>
    <t>Scania 7</t>
  </si>
  <si>
    <t>Scania 8</t>
  </si>
  <si>
    <t>Scania 9</t>
  </si>
  <si>
    <t>Scania 10</t>
  </si>
  <si>
    <t>Volvo 5</t>
  </si>
  <si>
    <t>Volvo 2</t>
  </si>
  <si>
    <t>Volvo 3</t>
  </si>
  <si>
    <t>Volvo 4</t>
  </si>
  <si>
    <t>Volvo 7</t>
  </si>
  <si>
    <t>Volvo 8</t>
  </si>
  <si>
    <t>Volvo 9</t>
  </si>
  <si>
    <t>Volvo 6</t>
  </si>
  <si>
    <t>Scania 4</t>
  </si>
  <si>
    <t>Scania 5</t>
  </si>
  <si>
    <t>AFVtot</t>
  </si>
  <si>
    <t>Auto met reiskosten vergoeding (Onbekend)</t>
  </si>
  <si>
    <t>Auto zonder reiskosten vergoeding (Onbekend)</t>
  </si>
  <si>
    <t>A-Hout</t>
  </si>
  <si>
    <t>C-Hout</t>
  </si>
  <si>
    <t>Korrelmix</t>
  </si>
  <si>
    <t>Referentie jaar</t>
  </si>
  <si>
    <t>Huidig jaar</t>
  </si>
  <si>
    <t>Volvo 12</t>
  </si>
  <si>
    <t>Volvo 13</t>
  </si>
  <si>
    <t>Eigen locatie</t>
  </si>
  <si>
    <t>Grijze stroom</t>
  </si>
  <si>
    <t>NL Windenergie</t>
  </si>
  <si>
    <t>Kunststof</t>
  </si>
  <si>
    <t>*2</t>
  </si>
  <si>
    <t>NL Grijze stroom</t>
  </si>
  <si>
    <t>*3</t>
  </si>
  <si>
    <t>NL Windernegrie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</si>
</sst>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000"/>
    <numFmt numFmtId="165" formatCode="#,##0.000"/>
    <numFmt numFmtId="166" formatCode="0.000"/>
    <numFmt numFmtId="167" formatCode="#,##0\ &quot;bomen&quot;"/>
    <numFmt numFmtId="168" formatCode="#,##0\ &quot;uur&quot;"/>
    <numFmt numFmtId="169" formatCode="#,##0\ &quot;tablets&quot;"/>
    <numFmt numFmtId="170" formatCode="#,##0.0000"/>
    <numFmt numFmtId="171" formatCode="#,##0.000000"/>
    <numFmt numFmtId="172" formatCode="0.0000"/>
  </numFmts>
  <fonts count="4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70C0"/>
      <name val="Arial"/>
      <family val="2"/>
    </font>
    <font>
      <b/>
      <sz val="10"/>
      <color rgb="FF0070C0"/>
      <name val="Arial"/>
      <family val="2"/>
    </font>
    <font>
      <sz val="9"/>
      <color rgb="FF0070C0"/>
      <name val="Arial"/>
      <family val="2"/>
    </font>
    <font>
      <sz val="10"/>
      <color rgb="FF0070C0"/>
      <name val="Arial"/>
      <family val="2"/>
    </font>
    <font>
      <sz val="12"/>
      <color theme="1"/>
      <name val="Calibri"/>
      <family val="2"/>
      <scheme val="minor"/>
    </font>
    <font>
      <b/>
      <sz val="11"/>
      <color rgb="FF0070C0"/>
      <name val="Arial"/>
      <family val="2"/>
    </font>
    <font>
      <b/>
      <sz val="9"/>
      <color rgb="FF0070C0"/>
      <name val="Arial"/>
      <family val="2"/>
    </font>
    <font>
      <i/>
      <sz val="9"/>
      <color rgb="FF0070C0"/>
      <name val="Arial"/>
      <family val="2"/>
    </font>
    <font>
      <sz val="12"/>
      <color rgb="FF0070C0"/>
      <name val="Arial"/>
      <family val="2"/>
    </font>
    <font>
      <vertAlign val="superscript"/>
      <sz val="9"/>
      <color rgb="FF0070C0"/>
      <name val="Arial"/>
      <family val="2"/>
    </font>
    <font>
      <sz val="10"/>
      <color theme="1"/>
      <name val="Arial"/>
      <family val="2"/>
    </font>
    <font>
      <vertAlign val="subscript"/>
      <sz val="9"/>
      <color rgb="FF0070C0"/>
      <name val="Arial"/>
      <family val="2"/>
    </font>
    <font>
      <sz val="8"/>
      <color rgb="FF0070C0"/>
      <name val="Arial"/>
      <family val="2"/>
    </font>
    <font>
      <b/>
      <sz val="8"/>
      <color rgb="FF0070C0"/>
      <name val="Arial"/>
      <family val="2"/>
    </font>
    <font>
      <vertAlign val="superscript"/>
      <sz val="8"/>
      <color rgb="FF0070C0"/>
      <name val="Arial"/>
      <family val="2"/>
    </font>
    <font>
      <vertAlign val="subscript"/>
      <sz val="8"/>
      <color rgb="FF0070C0"/>
      <name val="Arial"/>
      <family val="2"/>
    </font>
    <font>
      <b/>
      <vertAlign val="subscript"/>
      <sz val="8"/>
      <color rgb="FF0070C0"/>
      <name val="Arial"/>
      <family val="2"/>
    </font>
    <font>
      <sz val="8"/>
      <color theme="1"/>
      <name val="Arial"/>
      <family val="2"/>
    </font>
    <font>
      <b/>
      <sz val="12"/>
      <color rgb="FF0070C0"/>
      <name val="Arial"/>
      <family val="2"/>
    </font>
    <font>
      <b/>
      <vertAlign val="subscript"/>
      <sz val="12"/>
      <color rgb="FF0070C0"/>
      <name val="Arial"/>
      <family val="2"/>
    </font>
    <font>
      <vertAlign val="subscript"/>
      <sz val="12"/>
      <color rgb="FF0070C0"/>
      <name val="Arial"/>
      <family val="2"/>
    </font>
    <font>
      <vertAlign val="subscript"/>
      <sz val="11"/>
      <color rgb="FF0070C0"/>
      <name val="Arial"/>
      <family val="2"/>
    </font>
    <font>
      <sz val="12"/>
      <color theme="1"/>
      <name val="Arial"/>
      <family val="2"/>
    </font>
    <font>
      <u/>
      <sz val="14"/>
      <color rgb="FF0070C0"/>
      <name val="Arial"/>
      <family val="2"/>
    </font>
    <font>
      <sz val="11"/>
      <color rgb="FF0724C6"/>
      <name val="Arial"/>
      <family val="2"/>
    </font>
    <font>
      <vertAlign val="superscript"/>
      <sz val="11"/>
      <color rgb="FF0724C6"/>
      <name val="Arial"/>
      <family val="2"/>
    </font>
    <font>
      <b/>
      <sz val="11"/>
      <color rgb="FF0724C6"/>
      <name val="Arial"/>
      <family val="2"/>
    </font>
    <font>
      <sz val="12"/>
      <color rgb="FF0724C6"/>
      <name val="Arial"/>
      <family val="2"/>
    </font>
    <font>
      <i/>
      <sz val="10"/>
      <color rgb="FF0724C6"/>
      <name val="Arial"/>
      <family val="2"/>
    </font>
    <font>
      <sz val="10"/>
      <color rgb="FF0724C6"/>
      <name val="Arial"/>
      <family val="2"/>
    </font>
    <font>
      <b/>
      <sz val="12"/>
      <color rgb="FF0724C6"/>
      <name val="Arial"/>
      <family val="2"/>
    </font>
    <font>
      <i/>
      <sz val="8"/>
      <color rgb="FF0070C0"/>
      <name val="Arial"/>
      <family val="2"/>
    </font>
    <font>
      <sz val="9"/>
      <color theme="1"/>
      <name val="Arial"/>
      <family val="2"/>
    </font>
    <font>
      <i/>
      <vertAlign val="subscript"/>
      <sz val="8"/>
      <color rgb="FF0070C0"/>
      <name val="Arial"/>
      <family val="2"/>
    </font>
    <font>
      <sz val="11"/>
      <color theme="1"/>
      <name val="Arial"/>
      <family val="2"/>
    </font>
    <font>
      <i/>
      <sz val="11"/>
      <color rgb="FF0070C0"/>
      <name val="Arial"/>
      <family val="2"/>
    </font>
    <font>
      <b/>
      <i/>
      <sz val="9"/>
      <color rgb="FF0070C0"/>
      <name val="Arial"/>
      <family val="2"/>
    </font>
    <font>
      <i/>
      <sz val="10"/>
      <color rgb="FF0000CC"/>
      <name val="Arial"/>
      <family val="2"/>
    </font>
    <font>
      <sz val="10"/>
      <color rgb="FF0000CC"/>
      <name val="Arial"/>
      <family val="2"/>
    </font>
    <font>
      <vertAlign val="subscript"/>
      <sz val="10"/>
      <color rgb="FF0000CC"/>
      <name val="Arial"/>
      <family val="2"/>
    </font>
    <font>
      <b/>
      <sz val="10"/>
      <color rgb="FF0000C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medium">
        <color rgb="FF0070C0"/>
      </right>
      <top/>
      <bottom style="thin">
        <color rgb="FF0070C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724C6"/>
      </left>
      <right/>
      <top style="thin">
        <color rgb="FF0724C6"/>
      </top>
      <bottom/>
      <diagonal/>
    </border>
    <border>
      <left/>
      <right/>
      <top style="thin">
        <color rgb="FF0724C6"/>
      </top>
      <bottom/>
      <diagonal/>
    </border>
    <border>
      <left style="thin">
        <color rgb="FF0724C6"/>
      </left>
      <right/>
      <top/>
      <bottom/>
      <diagonal/>
    </border>
    <border>
      <left/>
      <right style="thin">
        <color rgb="FF0724C6"/>
      </right>
      <top/>
      <bottom/>
      <diagonal/>
    </border>
    <border>
      <left style="thin">
        <color rgb="FF0724C6"/>
      </left>
      <right/>
      <top/>
      <bottom style="thin">
        <color rgb="FF0724C6"/>
      </bottom>
      <diagonal/>
    </border>
    <border>
      <left/>
      <right/>
      <top/>
      <bottom style="thin">
        <color rgb="FF0724C6"/>
      </bottom>
      <diagonal/>
    </border>
    <border>
      <left/>
      <right style="thin">
        <color rgb="FF0724C6"/>
      </right>
      <top/>
      <bottom style="thin">
        <color rgb="FF0724C6"/>
      </bottom>
      <diagonal/>
    </border>
    <border>
      <left style="thin">
        <color rgb="FF0724C6"/>
      </left>
      <right style="thin">
        <color rgb="FF0724C6"/>
      </right>
      <top style="thin">
        <color rgb="FF0724C6"/>
      </top>
      <bottom/>
      <diagonal/>
    </border>
    <border>
      <left style="thin">
        <color rgb="FF0724C6"/>
      </left>
      <right style="thin">
        <color rgb="FF0724C6"/>
      </right>
      <top/>
      <bottom/>
      <diagonal/>
    </border>
    <border>
      <left style="thin">
        <color rgb="FF0724C6"/>
      </left>
      <right style="thin">
        <color rgb="FF0724C6"/>
      </right>
      <top/>
      <bottom style="thin">
        <color rgb="FF0724C6"/>
      </bottom>
      <diagonal/>
    </border>
    <border>
      <left/>
      <right style="thin">
        <color rgb="FF0724C6"/>
      </right>
      <top style="thin">
        <color rgb="FF0724C6"/>
      </top>
      <bottom/>
      <diagonal/>
    </border>
    <border>
      <left style="thin">
        <color rgb="FF0724C6"/>
      </left>
      <right style="thin">
        <color rgb="FF0724C6"/>
      </right>
      <top style="thin">
        <color rgb="FF0724C6"/>
      </top>
      <bottom style="thin">
        <color rgb="FF0724C6"/>
      </bottom>
      <diagonal/>
    </border>
    <border>
      <left style="thin">
        <color rgb="FF0724C6"/>
      </left>
      <right/>
      <top style="thin">
        <color rgb="FF0724C6"/>
      </top>
      <bottom style="thin">
        <color rgb="FF0724C6"/>
      </bottom>
      <diagonal/>
    </border>
    <border>
      <left/>
      <right/>
      <top style="thin">
        <color rgb="FF0724C6"/>
      </top>
      <bottom style="thin">
        <color rgb="FF0724C6"/>
      </bottom>
      <diagonal/>
    </border>
    <border>
      <left/>
      <right style="thin">
        <color rgb="FF0724C6"/>
      </right>
      <top style="thin">
        <color rgb="FF0724C6"/>
      </top>
      <bottom style="thin">
        <color rgb="FF0724C6"/>
      </bottom>
      <diagonal/>
    </border>
    <border>
      <left style="hair">
        <color rgb="FF0724C6"/>
      </left>
      <right/>
      <top/>
      <bottom/>
      <diagonal/>
    </border>
    <border>
      <left style="hair">
        <color rgb="FF0724C6"/>
      </left>
      <right style="thin">
        <color rgb="FF0724C6"/>
      </right>
      <top style="thin">
        <color rgb="FF0724C6"/>
      </top>
      <bottom style="thin">
        <color rgb="FF0724C6"/>
      </bottom>
      <diagonal/>
    </border>
    <border>
      <left style="thin">
        <color rgb="FF0724C6"/>
      </left>
      <right style="hair">
        <color rgb="FF0724C6"/>
      </right>
      <top style="thin">
        <color rgb="FF0724C6"/>
      </top>
      <bottom style="thin">
        <color rgb="FF0724C6"/>
      </bottom>
      <diagonal/>
    </border>
    <border>
      <left style="dashed">
        <color rgb="FF0070C0"/>
      </left>
      <right style="dashed">
        <color rgb="FF0070C0"/>
      </right>
      <top style="medium">
        <color rgb="FF0070C0"/>
      </top>
      <bottom style="medium">
        <color rgb="FF0070C0"/>
      </bottom>
      <diagonal/>
    </border>
    <border>
      <left style="dashed">
        <color rgb="FF0070C0"/>
      </left>
      <right style="dashed">
        <color rgb="FF0070C0"/>
      </right>
      <top style="medium">
        <color rgb="FF0070C0"/>
      </top>
      <bottom/>
      <diagonal/>
    </border>
    <border>
      <left style="dashed">
        <color rgb="FF0070C0"/>
      </left>
      <right style="dashed">
        <color rgb="FF0070C0"/>
      </right>
      <top/>
      <bottom/>
      <diagonal/>
    </border>
    <border>
      <left style="dashed">
        <color rgb="FF0070C0"/>
      </left>
      <right style="dashed">
        <color rgb="FF0070C0"/>
      </right>
      <top/>
      <bottom style="medium">
        <color rgb="FF0070C0"/>
      </bottom>
      <diagonal/>
    </border>
    <border>
      <left style="dashed">
        <color rgb="FF0070C0"/>
      </left>
      <right style="dashed">
        <color rgb="FF0070C0"/>
      </right>
      <top/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 style="medium">
        <color rgb="FF0724C6"/>
      </left>
      <right/>
      <top style="medium">
        <color rgb="FF0724C6"/>
      </top>
      <bottom style="thin">
        <color rgb="FF0724C6"/>
      </bottom>
      <diagonal/>
    </border>
    <border>
      <left/>
      <right style="medium">
        <color rgb="FF0724C6"/>
      </right>
      <top style="medium">
        <color rgb="FF0724C6"/>
      </top>
      <bottom style="thin">
        <color rgb="FF0724C6"/>
      </bottom>
      <diagonal/>
    </border>
    <border>
      <left style="medium">
        <color rgb="FF0724C6"/>
      </left>
      <right/>
      <top style="thin">
        <color rgb="FF0724C6"/>
      </top>
      <bottom style="medium">
        <color rgb="FF0724C6"/>
      </bottom>
      <diagonal/>
    </border>
    <border>
      <left style="medium">
        <color rgb="FF0724C6"/>
      </left>
      <right/>
      <top style="thin">
        <color rgb="FF0724C6"/>
      </top>
      <bottom/>
      <diagonal/>
    </border>
    <border>
      <left/>
      <right style="medium">
        <color rgb="FF0724C6"/>
      </right>
      <top style="thin">
        <color rgb="FF0724C6"/>
      </top>
      <bottom/>
      <diagonal/>
    </border>
    <border>
      <left style="medium">
        <color rgb="FF0724C6"/>
      </left>
      <right/>
      <top/>
      <bottom style="medium">
        <color rgb="FF0724C6"/>
      </bottom>
      <diagonal/>
    </border>
    <border>
      <left style="medium">
        <color rgb="FF0724C6"/>
      </left>
      <right style="medium">
        <color rgb="FF0724C6"/>
      </right>
      <top style="medium">
        <color rgb="FF0724C6"/>
      </top>
      <bottom/>
      <diagonal/>
    </border>
    <border>
      <left style="medium">
        <color rgb="FF0724C6"/>
      </left>
      <right style="medium">
        <color rgb="FF0724C6"/>
      </right>
      <top style="thin">
        <color rgb="FF0724C6"/>
      </top>
      <bottom style="medium">
        <color rgb="FF0724C6"/>
      </bottom>
      <diagonal/>
    </border>
    <border>
      <left style="thin">
        <color rgb="FF0724C6"/>
      </left>
      <right style="medium">
        <color rgb="FF0724C6"/>
      </right>
      <top/>
      <bottom style="medium">
        <color rgb="FF0724C6"/>
      </bottom>
      <diagonal/>
    </border>
    <border>
      <left style="medium">
        <color indexed="64"/>
      </left>
      <right style="medium">
        <color indexed="64"/>
      </right>
      <top/>
      <bottom style="thin">
        <color rgb="FF0070C0"/>
      </bottom>
      <diagonal/>
    </border>
    <border>
      <left style="medium">
        <color indexed="64"/>
      </left>
      <right/>
      <top/>
      <bottom style="thin">
        <color rgb="FF0070C0"/>
      </bottom>
      <diagonal/>
    </border>
    <border>
      <left/>
      <right style="medium">
        <color indexed="64"/>
      </right>
      <top/>
      <bottom style="thin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724C6"/>
      </left>
      <right/>
      <top style="medium">
        <color rgb="FF0724C6"/>
      </top>
      <bottom/>
      <diagonal/>
    </border>
    <border>
      <left/>
      <right style="medium">
        <color rgb="FF0724C6"/>
      </right>
      <top style="medium">
        <color rgb="FF0724C6"/>
      </top>
      <bottom/>
      <diagonal/>
    </border>
    <border>
      <left style="medium">
        <color rgb="FF0724C6"/>
      </left>
      <right/>
      <top/>
      <bottom style="thin">
        <color rgb="FF0724C6"/>
      </bottom>
      <diagonal/>
    </border>
    <border>
      <left/>
      <right style="medium">
        <color rgb="FF0724C6"/>
      </right>
      <top/>
      <bottom style="thin">
        <color rgb="FF0724C6"/>
      </bottom>
      <diagonal/>
    </border>
    <border>
      <left style="medium">
        <color rgb="FF0724C6"/>
      </left>
      <right style="thin">
        <color rgb="FF0724C6"/>
      </right>
      <top style="thin">
        <color rgb="FF0724C6"/>
      </top>
      <bottom style="thin">
        <color rgb="FF0724C6"/>
      </bottom>
      <diagonal/>
    </border>
    <border>
      <left style="thin">
        <color rgb="FF0724C6"/>
      </left>
      <right style="medium">
        <color rgb="FF0724C6"/>
      </right>
      <top style="thin">
        <color rgb="FF0724C6"/>
      </top>
      <bottom style="thin">
        <color rgb="FF0724C6"/>
      </bottom>
      <diagonal/>
    </border>
    <border>
      <left style="medium">
        <color rgb="FF0724C6"/>
      </left>
      <right style="thin">
        <color rgb="FF0724C6"/>
      </right>
      <top style="thin">
        <color rgb="FF0724C6"/>
      </top>
      <bottom style="medium">
        <color rgb="FF0724C6"/>
      </bottom>
      <diagonal/>
    </border>
    <border>
      <left style="thin">
        <color rgb="FF0724C6"/>
      </left>
      <right style="medium">
        <color rgb="FF0724C6"/>
      </right>
      <top style="thin">
        <color rgb="FF0724C6"/>
      </top>
      <bottom style="medium">
        <color rgb="FF0724C6"/>
      </bottom>
      <diagonal/>
    </border>
    <border>
      <left/>
      <right/>
      <top/>
      <bottom style="medium">
        <color rgb="FF0724C6"/>
      </bottom>
      <diagonal/>
    </border>
    <border>
      <left style="dashed">
        <color rgb="FF0070C0"/>
      </left>
      <right style="dashed">
        <color rgb="FF0070C0"/>
      </right>
      <top/>
      <bottom style="medium">
        <color rgb="FF0724C6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rgb="FF0724C6"/>
      </left>
      <right style="medium">
        <color rgb="FF0724C6"/>
      </right>
      <top style="thin">
        <color rgb="FF0724C6"/>
      </top>
      <bottom/>
      <diagonal/>
    </border>
    <border>
      <left style="thin">
        <color rgb="FF0724C6"/>
      </left>
      <right style="medium">
        <color rgb="FF0724C6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ashed">
        <color rgb="FF0070C0"/>
      </right>
      <top/>
      <bottom/>
      <diagonal/>
    </border>
    <border>
      <left style="medium">
        <color rgb="FF0724C6"/>
      </left>
      <right style="medium">
        <color rgb="FF0724C6"/>
      </right>
      <top style="medium">
        <color rgb="FF0724C6"/>
      </top>
      <bottom style="medium">
        <color rgb="FF0724C6"/>
      </bottom>
      <diagonal/>
    </border>
    <border>
      <left style="medium">
        <color rgb="FF0724C6"/>
      </left>
      <right style="medium">
        <color rgb="FF0724C6"/>
      </right>
      <top/>
      <bottom/>
      <diagonal/>
    </border>
    <border>
      <left style="medium">
        <color rgb="FF0724C6"/>
      </left>
      <right style="medium">
        <color rgb="FF0724C6"/>
      </right>
      <top/>
      <bottom style="medium">
        <color rgb="FF0724C6"/>
      </bottom>
      <diagonal/>
    </border>
    <border>
      <left style="medium">
        <color rgb="FF0724C6"/>
      </left>
      <right/>
      <top style="medium">
        <color rgb="FF0724C6"/>
      </top>
      <bottom style="medium">
        <color rgb="FF0724C6"/>
      </bottom>
      <diagonal/>
    </border>
    <border>
      <left/>
      <right/>
      <top style="medium">
        <color rgb="FF0724C6"/>
      </top>
      <bottom style="medium">
        <color rgb="FF0724C6"/>
      </bottom>
      <diagonal/>
    </border>
    <border>
      <left/>
      <right style="medium">
        <color rgb="FF0724C6"/>
      </right>
      <top style="medium">
        <color rgb="FF0724C6"/>
      </top>
      <bottom style="medium">
        <color rgb="FF0724C6"/>
      </bottom>
      <diagonal/>
    </border>
    <border>
      <left style="hair">
        <color rgb="FF0724C6"/>
      </left>
      <right style="thin">
        <color rgb="FF0724C6"/>
      </right>
      <top style="thin">
        <color rgb="FF0724C6"/>
      </top>
      <bottom/>
      <diagonal/>
    </border>
    <border>
      <left style="hair">
        <color rgb="FF0724C6"/>
      </left>
      <right style="thin">
        <color rgb="FF0724C6"/>
      </right>
      <top/>
      <bottom/>
      <diagonal/>
    </border>
    <border>
      <left style="hair">
        <color rgb="FF0724C6"/>
      </left>
      <right style="dashed">
        <color rgb="FF0724C6"/>
      </right>
      <top/>
      <bottom/>
      <diagonal/>
    </border>
    <border>
      <left style="hair">
        <color rgb="FF0724C6"/>
      </left>
      <right style="thin">
        <color rgb="FF0724C6"/>
      </right>
      <top/>
      <bottom style="thin">
        <color rgb="FF0724C6"/>
      </bottom>
      <diagonal/>
    </border>
    <border>
      <left style="hair">
        <color rgb="FF0724C6"/>
      </left>
      <right style="dashed">
        <color rgb="FF0724C6"/>
      </right>
      <top style="thin">
        <color rgb="FF0724C6"/>
      </top>
      <bottom style="thin">
        <color rgb="FF0724C6"/>
      </bottom>
      <diagonal/>
    </border>
    <border>
      <left style="hair">
        <color rgb="FF0724C6"/>
      </left>
      <right style="dashed">
        <color rgb="FF0724C6"/>
      </right>
      <top/>
      <bottom style="thin">
        <color rgb="FF0724C6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rgb="FF0724C6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/>
      <top style="medium">
        <color rgb="FF0070C0"/>
      </top>
      <bottom style="medium">
        <color rgb="FF0724C6"/>
      </bottom>
      <diagonal/>
    </border>
    <border>
      <left style="dashed">
        <color rgb="FF0070C0"/>
      </left>
      <right style="dashed">
        <color rgb="FF0070C0"/>
      </right>
      <top style="medium">
        <color rgb="FF0070C0"/>
      </top>
      <bottom style="medium">
        <color rgb="FF0724C6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724C6"/>
      </bottom>
      <diagonal/>
    </border>
    <border>
      <left style="medium">
        <color rgb="FF0070C0"/>
      </left>
      <right/>
      <top style="medium">
        <color rgb="FF0070C0"/>
      </top>
      <bottom style="medium">
        <color rgb="FF0724C6"/>
      </bottom>
      <diagonal/>
    </border>
    <border>
      <left/>
      <right/>
      <top style="medium">
        <color indexed="64"/>
      </top>
      <bottom/>
      <diagonal/>
    </border>
    <border>
      <left style="thin">
        <color rgb="FF0000CC"/>
      </left>
      <right/>
      <top style="thin">
        <color rgb="FF0000CC"/>
      </top>
      <bottom style="thin">
        <color rgb="FF0000CC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/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hair">
        <color rgb="FF0724C6"/>
      </left>
      <right/>
      <top style="thin">
        <color rgb="FF0724C6"/>
      </top>
      <bottom/>
      <diagonal/>
    </border>
    <border>
      <left/>
      <right style="hair">
        <color rgb="FF0724C6"/>
      </right>
      <top style="thin">
        <color rgb="FF0724C6"/>
      </top>
      <bottom/>
      <diagonal/>
    </border>
    <border>
      <left/>
      <right style="hair">
        <color rgb="FF0724C6"/>
      </right>
      <top/>
      <bottom/>
      <diagonal/>
    </border>
    <border>
      <left style="thin">
        <color rgb="FF0724C6"/>
      </left>
      <right style="hair">
        <color rgb="FF0724C6"/>
      </right>
      <top style="thin">
        <color rgb="FF0724C6"/>
      </top>
      <bottom/>
      <diagonal/>
    </border>
    <border>
      <left style="thin">
        <color rgb="FF0724C6"/>
      </left>
      <right style="hair">
        <color rgb="FF0724C6"/>
      </right>
      <top/>
      <bottom/>
      <diagonal/>
    </border>
    <border>
      <left style="hair">
        <color rgb="FF0724C6"/>
      </left>
      <right/>
      <top/>
      <bottom style="thin">
        <color rgb="FF0724C6"/>
      </bottom>
      <diagonal/>
    </border>
    <border>
      <left style="thin">
        <color rgb="FF0724C6"/>
      </left>
      <right style="hair">
        <color rgb="FF0724C6"/>
      </right>
      <top/>
      <bottom style="thin">
        <color rgb="FF0724C6"/>
      </bottom>
      <diagonal/>
    </border>
    <border>
      <left style="hair">
        <color rgb="FF0724C6"/>
      </left>
      <right style="hair">
        <color rgb="FF0724C6"/>
      </right>
      <top/>
      <bottom style="thin">
        <color rgb="FF0724C6"/>
      </bottom>
      <diagonal/>
    </border>
    <border>
      <left/>
      <right style="hair">
        <color rgb="FF0724C6"/>
      </right>
      <top/>
      <bottom style="thin">
        <color rgb="FF0724C6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rgb="FF0724C6"/>
      </right>
      <top style="thin">
        <color rgb="FF0724C6"/>
      </top>
      <bottom style="medium">
        <color rgb="FF0724C6"/>
      </bottom>
      <diagonal/>
    </border>
    <border>
      <left style="hair">
        <color rgb="FF0724C6"/>
      </left>
      <right style="medium">
        <color rgb="FF0724C6"/>
      </right>
      <top style="thin">
        <color rgb="FF0724C6"/>
      </top>
      <bottom style="medium">
        <color rgb="FF0724C6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68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11" xfId="0" applyFont="1" applyBorder="1"/>
    <xf numFmtId="0" fontId="2" fillId="0" borderId="13" xfId="0" applyFont="1" applyBorder="1"/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vertical="top"/>
    </xf>
    <xf numFmtId="0" fontId="2" fillId="0" borderId="2" xfId="0" applyFont="1" applyBorder="1"/>
    <xf numFmtId="0" fontId="2" fillId="0" borderId="19" xfId="0" applyFont="1" applyBorder="1"/>
    <xf numFmtId="0" fontId="2" fillId="0" borderId="12" xfId="0" applyFont="1" applyBorder="1"/>
    <xf numFmtId="0" fontId="2" fillId="0" borderId="1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8" xfId="0" applyFont="1" applyBorder="1"/>
    <xf numFmtId="0" fontId="2" fillId="0" borderId="19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2" fillId="0" borderId="14" xfId="0" applyFont="1" applyBorder="1" applyAlignment="1">
      <alignment vertical="top"/>
    </xf>
    <xf numFmtId="0" fontId="2" fillId="0" borderId="14" xfId="0" applyFont="1" applyBorder="1"/>
    <xf numFmtId="0" fontId="5" fillId="0" borderId="0" xfId="0" applyFont="1"/>
    <xf numFmtId="3" fontId="2" fillId="0" borderId="2" xfId="0" applyNumberFormat="1" applyFont="1" applyBorder="1"/>
    <xf numFmtId="3" fontId="2" fillId="0" borderId="7" xfId="0" applyNumberFormat="1" applyFont="1" applyBorder="1"/>
    <xf numFmtId="0" fontId="7" fillId="0" borderId="1" xfId="0" applyFont="1" applyBorder="1" applyAlignment="1">
      <alignment vertical="top"/>
    </xf>
    <xf numFmtId="0" fontId="7" fillId="0" borderId="1" xfId="0" applyFont="1" applyBorder="1"/>
    <xf numFmtId="3" fontId="7" fillId="0" borderId="1" xfId="0" applyNumberFormat="1" applyFont="1" applyBorder="1"/>
    <xf numFmtId="3" fontId="7" fillId="0" borderId="4" xfId="0" applyNumberFormat="1" applyFont="1" applyBorder="1"/>
    <xf numFmtId="0" fontId="7" fillId="0" borderId="3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2" fillId="0" borderId="2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7" fillId="0" borderId="33" xfId="0" applyFont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3" fontId="7" fillId="0" borderId="35" xfId="0" applyNumberFormat="1" applyFont="1" applyBorder="1" applyAlignment="1">
      <alignment vertical="top" wrapText="1"/>
    </xf>
    <xf numFmtId="3" fontId="7" fillId="0" borderId="34" xfId="0" applyNumberFormat="1" applyFont="1" applyBorder="1" applyAlignment="1">
      <alignment vertical="top" wrapText="1"/>
    </xf>
    <xf numFmtId="0" fontId="12" fillId="0" borderId="0" xfId="0" applyFont="1"/>
    <xf numFmtId="0" fontId="2" fillId="0" borderId="13" xfId="0" applyFont="1" applyBorder="1" applyAlignment="1">
      <alignment horizontal="left" wrapText="1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wrapText="1"/>
    </xf>
    <xf numFmtId="166" fontId="14" fillId="0" borderId="0" xfId="0" applyNumberFormat="1" applyFont="1" applyAlignment="1">
      <alignment horizontal="center"/>
    </xf>
    <xf numFmtId="0" fontId="15" fillId="0" borderId="0" xfId="0" applyFont="1" applyAlignment="1">
      <alignment vertical="top" wrapText="1"/>
    </xf>
    <xf numFmtId="0" fontId="15" fillId="0" borderId="0" xfId="0" applyFont="1"/>
    <xf numFmtId="166" fontId="15" fillId="0" borderId="0" xfId="0" applyNumberFormat="1" applyFont="1" applyAlignment="1">
      <alignment horizontal="center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left" vertical="top"/>
    </xf>
    <xf numFmtId="0" fontId="19" fillId="0" borderId="0" xfId="0" applyFont="1"/>
    <xf numFmtId="0" fontId="7" fillId="0" borderId="32" xfId="0" applyFont="1" applyBorder="1" applyAlignment="1">
      <alignment vertical="top"/>
    </xf>
    <xf numFmtId="0" fontId="7" fillId="0" borderId="33" xfId="0" applyFont="1" applyBorder="1"/>
    <xf numFmtId="3" fontId="7" fillId="0" borderId="32" xfId="0" applyNumberFormat="1" applyFont="1" applyBorder="1"/>
    <xf numFmtId="3" fontId="7" fillId="0" borderId="35" xfId="0" applyNumberFormat="1" applyFont="1" applyBorder="1"/>
    <xf numFmtId="0" fontId="12" fillId="0" borderId="0" xfId="0" applyFont="1" applyAlignment="1">
      <alignment wrapText="1"/>
    </xf>
    <xf numFmtId="164" fontId="4" fillId="0" borderId="55" xfId="0" applyNumberFormat="1" applyFont="1" applyBorder="1" applyAlignment="1" applyProtection="1">
      <alignment horizontal="center" vertical="top" wrapText="1"/>
      <protection hidden="1"/>
    </xf>
    <xf numFmtId="164" fontId="4" fillId="0" borderId="58" xfId="0" applyNumberFormat="1" applyFont="1" applyBorder="1" applyAlignment="1" applyProtection="1">
      <alignment horizontal="center" vertical="top" wrapText="1"/>
      <protection hidden="1"/>
    </xf>
    <xf numFmtId="0" fontId="4" fillId="0" borderId="54" xfId="0" applyFont="1" applyBorder="1" applyProtection="1">
      <protection hidden="1"/>
    </xf>
    <xf numFmtId="0" fontId="4" fillId="0" borderId="54" xfId="0" applyFont="1" applyBorder="1" applyAlignment="1" applyProtection="1">
      <alignment horizontal="center"/>
      <protection hidden="1"/>
    </xf>
    <xf numFmtId="0" fontId="4" fillId="0" borderId="61" xfId="0" applyFont="1" applyBorder="1" applyProtection="1">
      <protection hidden="1"/>
    </xf>
    <xf numFmtId="0" fontId="4" fillId="0" borderId="60" xfId="0" applyFont="1" applyBorder="1" applyAlignment="1" applyProtection="1">
      <alignment horizontal="center" wrapText="1"/>
      <protection hidden="1"/>
    </xf>
    <xf numFmtId="164" fontId="4" fillId="0" borderId="56" xfId="0" applyNumberFormat="1" applyFont="1" applyBorder="1" applyAlignment="1" applyProtection="1">
      <alignment horizontal="center" vertical="center" wrapText="1"/>
      <protection hidden="1"/>
    </xf>
    <xf numFmtId="164" fontId="4" fillId="0" borderId="57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14" fontId="5" fillId="0" borderId="0" xfId="0" applyNumberFormat="1" applyFont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right"/>
      <protection hidden="1"/>
    </xf>
    <xf numFmtId="0" fontId="14" fillId="0" borderId="48" xfId="0" applyFont="1" applyBorder="1" applyAlignment="1" applyProtection="1">
      <alignment vertical="top"/>
      <protection hidden="1"/>
    </xf>
    <xf numFmtId="0" fontId="14" fillId="0" borderId="49" xfId="0" applyFont="1" applyBorder="1" applyAlignment="1" applyProtection="1">
      <alignment horizontal="center"/>
      <protection hidden="1"/>
    </xf>
    <xf numFmtId="0" fontId="14" fillId="0" borderId="47" xfId="0" applyFont="1" applyBorder="1" applyAlignment="1" applyProtection="1">
      <alignment horizontal="center"/>
      <protection hidden="1"/>
    </xf>
    <xf numFmtId="0" fontId="14" fillId="0" borderId="38" xfId="0" applyFont="1" applyBorder="1" applyAlignment="1" applyProtection="1">
      <alignment vertical="top"/>
      <protection hidden="1"/>
    </xf>
    <xf numFmtId="165" fontId="14" fillId="0" borderId="0" xfId="0" applyNumberFormat="1" applyFont="1" applyAlignment="1" applyProtection="1">
      <alignment horizontal="center"/>
      <protection hidden="1"/>
    </xf>
    <xf numFmtId="0" fontId="14" fillId="0" borderId="40" xfId="0" applyFont="1" applyBorder="1" applyAlignment="1" applyProtection="1">
      <alignment vertical="top"/>
      <protection hidden="1"/>
    </xf>
    <xf numFmtId="0" fontId="15" fillId="0" borderId="0" xfId="0" applyFont="1" applyAlignment="1" applyProtection="1">
      <alignment vertical="top"/>
      <protection hidden="1"/>
    </xf>
    <xf numFmtId="165" fontId="14" fillId="0" borderId="38" xfId="0" applyNumberFormat="1" applyFont="1" applyBorder="1" applyAlignment="1" applyProtection="1">
      <alignment horizontal="center"/>
      <protection hidden="1"/>
    </xf>
    <xf numFmtId="165" fontId="14" fillId="0" borderId="48" xfId="0" applyNumberFormat="1" applyFont="1" applyBorder="1" applyAlignment="1" applyProtection="1">
      <alignment horizontal="center"/>
      <protection hidden="1"/>
    </xf>
    <xf numFmtId="0" fontId="14" fillId="0" borderId="36" xfId="0" applyFont="1" applyBorder="1" applyAlignment="1" applyProtection="1">
      <alignment vertical="top"/>
      <protection hidden="1"/>
    </xf>
    <xf numFmtId="165" fontId="14" fillId="0" borderId="40" xfId="0" applyNumberFormat="1" applyFont="1" applyBorder="1" applyAlignment="1" applyProtection="1">
      <alignment horizontal="center"/>
      <protection hidden="1"/>
    </xf>
    <xf numFmtId="0" fontId="14" fillId="0" borderId="43" xfId="0" applyFont="1" applyBorder="1" applyProtection="1">
      <protection hidden="1"/>
    </xf>
    <xf numFmtId="0" fontId="14" fillId="0" borderId="67" xfId="0" applyFont="1" applyBorder="1" applyAlignment="1" applyProtection="1">
      <alignment horizontal="center"/>
      <protection hidden="1"/>
    </xf>
    <xf numFmtId="0" fontId="14" fillId="0" borderId="70" xfId="0" applyFont="1" applyBorder="1" applyAlignment="1" applyProtection="1">
      <alignment horizontal="center"/>
      <protection hidden="1"/>
    </xf>
    <xf numFmtId="0" fontId="14" fillId="0" borderId="44" xfId="0" applyFont="1" applyBorder="1" applyProtection="1">
      <protection hidden="1"/>
    </xf>
    <xf numFmtId="3" fontId="14" fillId="0" borderId="38" xfId="0" applyNumberFormat="1" applyFont="1" applyBorder="1" applyAlignment="1" applyProtection="1">
      <alignment horizontal="center"/>
      <protection hidden="1"/>
    </xf>
    <xf numFmtId="3" fontId="14" fillId="0" borderId="44" xfId="0" applyNumberFormat="1" applyFont="1" applyBorder="1" applyAlignment="1" applyProtection="1">
      <alignment horizontal="center"/>
      <protection hidden="1"/>
    </xf>
    <xf numFmtId="0" fontId="14" fillId="0" borderId="38" xfId="0" applyFont="1" applyBorder="1" applyAlignment="1" applyProtection="1">
      <alignment vertical="top" wrapText="1"/>
      <protection hidden="1"/>
    </xf>
    <xf numFmtId="0" fontId="14" fillId="0" borderId="40" xfId="0" applyFont="1" applyBorder="1" applyAlignment="1" applyProtection="1">
      <alignment vertical="top" wrapText="1"/>
      <protection hidden="1"/>
    </xf>
    <xf numFmtId="0" fontId="14" fillId="0" borderId="45" xfId="0" applyFont="1" applyBorder="1" applyProtection="1">
      <protection hidden="1"/>
    </xf>
    <xf numFmtId="3" fontId="14" fillId="0" borderId="40" xfId="0" applyNumberFormat="1" applyFont="1" applyBorder="1" applyAlignment="1" applyProtection="1">
      <alignment horizontal="center"/>
      <protection hidden="1"/>
    </xf>
    <xf numFmtId="3" fontId="14" fillId="0" borderId="45" xfId="0" applyNumberFormat="1" applyFont="1" applyBorder="1" applyAlignment="1" applyProtection="1">
      <alignment horizontal="center"/>
      <protection hidden="1"/>
    </xf>
    <xf numFmtId="0" fontId="14" fillId="0" borderId="47" xfId="0" applyFont="1" applyBorder="1" applyProtection="1">
      <protection hidden="1"/>
    </xf>
    <xf numFmtId="3" fontId="14" fillId="0" borderId="48" xfId="0" applyNumberFormat="1" applyFont="1" applyBorder="1" applyAlignment="1" applyProtection="1">
      <alignment horizontal="center"/>
      <protection hidden="1"/>
    </xf>
    <xf numFmtId="3" fontId="14" fillId="0" borderId="47" xfId="0" applyNumberFormat="1" applyFont="1" applyBorder="1" applyAlignment="1" applyProtection="1">
      <alignment horizontal="center"/>
      <protection hidden="1"/>
    </xf>
    <xf numFmtId="0" fontId="15" fillId="0" borderId="48" xfId="0" applyFont="1" applyBorder="1" applyAlignment="1" applyProtection="1">
      <alignment vertical="top"/>
      <protection hidden="1"/>
    </xf>
    <xf numFmtId="0" fontId="15" fillId="0" borderId="47" xfId="0" applyFont="1" applyBorder="1" applyAlignment="1" applyProtection="1">
      <alignment vertical="top" wrapText="1"/>
      <protection hidden="1"/>
    </xf>
    <xf numFmtId="3" fontId="15" fillId="0" borderId="48" xfId="0" applyNumberFormat="1" applyFont="1" applyBorder="1" applyAlignment="1" applyProtection="1">
      <alignment horizontal="center"/>
      <protection hidden="1"/>
    </xf>
    <xf numFmtId="0" fontId="15" fillId="0" borderId="47" xfId="0" applyFont="1" applyBorder="1" applyProtection="1">
      <protection hidden="1"/>
    </xf>
    <xf numFmtId="0" fontId="14" fillId="0" borderId="44" xfId="0" applyFont="1" applyBorder="1" applyAlignment="1" applyProtection="1">
      <alignment vertical="center"/>
      <protection hidden="1"/>
    </xf>
    <xf numFmtId="0" fontId="15" fillId="0" borderId="36" xfId="0" applyFont="1" applyBorder="1" applyAlignment="1" applyProtection="1">
      <alignment vertical="top"/>
      <protection hidden="1"/>
    </xf>
    <xf numFmtId="0" fontId="14" fillId="0" borderId="39" xfId="0" applyFont="1" applyBorder="1" applyProtection="1">
      <protection hidden="1"/>
    </xf>
    <xf numFmtId="0" fontId="14" fillId="0" borderId="42" xfId="0" applyFont="1" applyBorder="1" applyProtection="1">
      <protection hidden="1"/>
    </xf>
    <xf numFmtId="0" fontId="14" fillId="0" borderId="51" xfId="0" applyFont="1" applyBorder="1" applyAlignment="1" applyProtection="1">
      <alignment horizontal="center"/>
      <protection hidden="1"/>
    </xf>
    <xf numFmtId="0" fontId="14" fillId="0" borderId="49" xfId="0" applyFont="1" applyBorder="1" applyProtection="1">
      <protection hidden="1"/>
    </xf>
    <xf numFmtId="0" fontId="15" fillId="0" borderId="48" xfId="0" applyFont="1" applyBorder="1" applyAlignment="1" applyProtection="1">
      <alignment wrapText="1"/>
      <protection hidden="1"/>
    </xf>
    <xf numFmtId="0" fontId="14" fillId="0" borderId="47" xfId="0" applyFont="1" applyBorder="1" applyAlignment="1" applyProtection="1">
      <alignment wrapText="1"/>
      <protection hidden="1"/>
    </xf>
    <xf numFmtId="0" fontId="14" fillId="0" borderId="48" xfId="0" applyFont="1" applyBorder="1" applyAlignment="1" applyProtection="1">
      <alignment horizontal="center"/>
      <protection hidden="1"/>
    </xf>
    <xf numFmtId="0" fontId="14" fillId="0" borderId="53" xfId="0" applyFont="1" applyBorder="1" applyAlignment="1" applyProtection="1">
      <alignment horizontal="center"/>
      <protection hidden="1"/>
    </xf>
    <xf numFmtId="3" fontId="15" fillId="0" borderId="49" xfId="0" applyNumberFormat="1" applyFont="1" applyBorder="1" applyAlignment="1" applyProtection="1">
      <alignment horizontal="center"/>
      <protection hidden="1"/>
    </xf>
    <xf numFmtId="0" fontId="15" fillId="0" borderId="48" xfId="0" applyFont="1" applyBorder="1" applyAlignment="1" applyProtection="1">
      <alignment vertical="top" wrapText="1"/>
      <protection hidden="1"/>
    </xf>
    <xf numFmtId="0" fontId="14" fillId="0" borderId="46" xfId="0" applyFont="1" applyBorder="1" applyProtection="1">
      <protection hidden="1"/>
    </xf>
    <xf numFmtId="0" fontId="14" fillId="0" borderId="41" xfId="0" applyFont="1" applyBorder="1" applyAlignment="1" applyProtection="1">
      <alignment horizontal="center"/>
      <protection hidden="1"/>
    </xf>
    <xf numFmtId="0" fontId="14" fillId="0" borderId="45" xfId="0" applyFont="1" applyBorder="1" applyAlignment="1" applyProtection="1">
      <alignment horizontal="center"/>
      <protection hidden="1"/>
    </xf>
    <xf numFmtId="0" fontId="14" fillId="0" borderId="40" xfId="0" applyFont="1" applyBorder="1" applyAlignment="1" applyProtection="1">
      <alignment horizontal="center"/>
      <protection hidden="1"/>
    </xf>
    <xf numFmtId="0" fontId="14" fillId="0" borderId="42" xfId="0" applyFont="1" applyBorder="1" applyAlignment="1" applyProtection="1">
      <alignment horizontal="center"/>
      <protection hidden="1"/>
    </xf>
    <xf numFmtId="3" fontId="15" fillId="0" borderId="47" xfId="0" applyNumberFormat="1" applyFont="1" applyBorder="1" applyAlignment="1" applyProtection="1">
      <alignment horizontal="center"/>
      <protection hidden="1"/>
    </xf>
    <xf numFmtId="3" fontId="14" fillId="0" borderId="36" xfId="0" applyNumberFormat="1" applyFont="1" applyBorder="1" applyAlignment="1" applyProtection="1">
      <alignment horizontal="center"/>
      <protection hidden="1"/>
    </xf>
    <xf numFmtId="0" fontId="15" fillId="0" borderId="50" xfId="0" applyFont="1" applyBorder="1" applyProtection="1">
      <protection hidden="1"/>
    </xf>
    <xf numFmtId="0" fontId="14" fillId="0" borderId="44" xfId="0" applyFont="1" applyBorder="1" applyAlignment="1" applyProtection="1">
      <alignment horizontal="center"/>
      <protection hidden="1"/>
    </xf>
    <xf numFmtId="0" fontId="15" fillId="0" borderId="48" xfId="0" applyFont="1" applyBorder="1" applyAlignment="1" applyProtection="1">
      <alignment vertical="center" wrapText="1"/>
      <protection hidden="1"/>
    </xf>
    <xf numFmtId="0" fontId="15" fillId="0" borderId="47" xfId="0" applyFont="1" applyBorder="1" applyAlignment="1" applyProtection="1">
      <alignment vertical="center" wrapText="1"/>
      <protection hidden="1"/>
    </xf>
    <xf numFmtId="165" fontId="15" fillId="0" borderId="48" xfId="0" applyNumberFormat="1" applyFont="1" applyBorder="1" applyAlignment="1" applyProtection="1">
      <alignment horizontal="center" vertical="center" wrapText="1"/>
      <protection hidden="1"/>
    </xf>
    <xf numFmtId="0" fontId="15" fillId="0" borderId="47" xfId="0" applyFont="1" applyBorder="1" applyAlignment="1" applyProtection="1">
      <alignment vertical="center"/>
      <protection hidden="1"/>
    </xf>
    <xf numFmtId="165" fontId="15" fillId="0" borderId="40" xfId="0" applyNumberFormat="1" applyFont="1" applyBorder="1" applyAlignment="1" applyProtection="1">
      <alignment horizontal="center"/>
      <protection hidden="1"/>
    </xf>
    <xf numFmtId="0" fontId="14" fillId="0" borderId="45" xfId="0" applyFont="1" applyBorder="1" applyAlignment="1" applyProtection="1">
      <alignment vertical="center"/>
      <protection hidden="1"/>
    </xf>
    <xf numFmtId="0" fontId="15" fillId="0" borderId="49" xfId="0" applyFont="1" applyBorder="1" applyProtection="1">
      <protection hidden="1"/>
    </xf>
    <xf numFmtId="165" fontId="15" fillId="0" borderId="48" xfId="0" applyNumberFormat="1" applyFont="1" applyBorder="1" applyAlignment="1" applyProtection="1">
      <alignment horizontal="center"/>
      <protection hidden="1"/>
    </xf>
    <xf numFmtId="165" fontId="15" fillId="0" borderId="47" xfId="0" applyNumberFormat="1" applyFont="1" applyBorder="1" applyAlignment="1" applyProtection="1">
      <alignment horizontal="center"/>
      <protection hidden="1"/>
    </xf>
    <xf numFmtId="165" fontId="15" fillId="0" borderId="53" xfId="0" applyNumberFormat="1" applyFont="1" applyBorder="1" applyAlignment="1" applyProtection="1">
      <alignment horizontal="center"/>
      <protection hidden="1"/>
    </xf>
    <xf numFmtId="165" fontId="15" fillId="0" borderId="52" xfId="0" applyNumberFormat="1" applyFont="1" applyBorder="1" applyAlignment="1" applyProtection="1">
      <alignment horizontal="center"/>
      <protection hidden="1"/>
    </xf>
    <xf numFmtId="0" fontId="15" fillId="0" borderId="40" xfId="0" applyFont="1" applyBorder="1" applyAlignment="1" applyProtection="1">
      <alignment vertical="top"/>
      <protection hidden="1"/>
    </xf>
    <xf numFmtId="0" fontId="15" fillId="0" borderId="45" xfId="0" applyFont="1" applyBorder="1" applyProtection="1">
      <protection hidden="1"/>
    </xf>
    <xf numFmtId="165" fontId="15" fillId="0" borderId="41" xfId="0" applyNumberFormat="1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wrapText="1"/>
      <protection hidden="1"/>
    </xf>
    <xf numFmtId="14" fontId="4" fillId="0" borderId="0" xfId="0" applyNumberFormat="1" applyFont="1" applyAlignment="1" applyProtection="1">
      <alignment horizontal="left" wrapText="1"/>
      <protection hidden="1"/>
    </xf>
    <xf numFmtId="0" fontId="8" fillId="0" borderId="59" xfId="0" applyFont="1" applyBorder="1" applyProtection="1">
      <protection hidden="1"/>
    </xf>
    <xf numFmtId="0" fontId="8" fillId="0" borderId="61" xfId="0" applyFont="1" applyBorder="1" applyProtection="1">
      <protection hidden="1"/>
    </xf>
    <xf numFmtId="0" fontId="8" fillId="0" borderId="54" xfId="0" applyFont="1" applyBorder="1" applyAlignment="1" applyProtection="1">
      <alignment horizontal="center"/>
      <protection hidden="1"/>
    </xf>
    <xf numFmtId="1" fontId="8" fillId="0" borderId="54" xfId="0" applyNumberFormat="1" applyFont="1" applyBorder="1" applyAlignment="1" applyProtection="1">
      <alignment horizontal="center"/>
      <protection hidden="1"/>
    </xf>
    <xf numFmtId="0" fontId="4" fillId="0" borderId="61" xfId="0" applyFont="1" applyBorder="1" applyAlignment="1" applyProtection="1">
      <alignment wrapText="1"/>
      <protection hidden="1"/>
    </xf>
    <xf numFmtId="0" fontId="4" fillId="0" borderId="60" xfId="0" applyFont="1" applyBorder="1" applyAlignment="1" applyProtection="1">
      <alignment wrapText="1"/>
      <protection hidden="1"/>
    </xf>
    <xf numFmtId="0" fontId="4" fillId="0" borderId="24" xfId="0" applyFont="1" applyBorder="1" applyProtection="1">
      <protection hidden="1"/>
    </xf>
    <xf numFmtId="0" fontId="4" fillId="0" borderId="56" xfId="0" applyFont="1" applyBorder="1" applyAlignment="1" applyProtection="1">
      <alignment horizontal="center"/>
      <protection hidden="1"/>
    </xf>
    <xf numFmtId="164" fontId="4" fillId="0" borderId="56" xfId="0" applyNumberFormat="1" applyFont="1" applyBorder="1" applyAlignment="1" applyProtection="1">
      <alignment horizontal="center"/>
      <protection hidden="1"/>
    </xf>
    <xf numFmtId="0" fontId="4" fillId="0" borderId="56" xfId="0" applyFont="1" applyBorder="1" applyProtection="1">
      <protection hidden="1"/>
    </xf>
    <xf numFmtId="0" fontId="4" fillId="0" borderId="25" xfId="0" applyFont="1" applyBorder="1" applyAlignment="1" applyProtection="1">
      <alignment wrapText="1"/>
      <protection hidden="1"/>
    </xf>
    <xf numFmtId="0" fontId="4" fillId="0" borderId="24" xfId="0" applyFont="1" applyBorder="1" applyAlignment="1" applyProtection="1">
      <alignment vertical="top"/>
      <protection hidden="1"/>
    </xf>
    <xf numFmtId="0" fontId="4" fillId="0" borderId="26" xfId="0" applyFont="1" applyBorder="1" applyProtection="1">
      <protection hidden="1"/>
    </xf>
    <xf numFmtId="164" fontId="4" fillId="0" borderId="57" xfId="0" applyNumberFormat="1" applyFont="1" applyBorder="1" applyAlignment="1" applyProtection="1">
      <alignment horizontal="center"/>
      <protection hidden="1"/>
    </xf>
    <xf numFmtId="0" fontId="4" fillId="0" borderId="57" xfId="0" applyFont="1" applyBorder="1" applyProtection="1">
      <protection hidden="1"/>
    </xf>
    <xf numFmtId="0" fontId="4" fillId="0" borderId="27" xfId="0" applyFont="1" applyBorder="1" applyAlignment="1" applyProtection="1">
      <alignment wrapText="1"/>
      <protection hidden="1"/>
    </xf>
    <xf numFmtId="0" fontId="4" fillId="0" borderId="28" xfId="0" applyFont="1" applyBorder="1" applyAlignment="1" applyProtection="1">
      <alignment wrapText="1"/>
      <protection hidden="1"/>
    </xf>
    <xf numFmtId="0" fontId="8" fillId="0" borderId="21" xfId="0" applyFont="1" applyBorder="1" applyProtection="1">
      <protection hidden="1"/>
    </xf>
    <xf numFmtId="0" fontId="4" fillId="0" borderId="55" xfId="0" applyFont="1" applyBorder="1" applyAlignment="1" applyProtection="1">
      <alignment horizontal="center"/>
      <protection hidden="1"/>
    </xf>
    <xf numFmtId="164" fontId="4" fillId="0" borderId="55" xfId="0" applyNumberFormat="1" applyFont="1" applyBorder="1" applyAlignment="1" applyProtection="1">
      <alignment horizontal="center"/>
      <protection hidden="1"/>
    </xf>
    <xf numFmtId="0" fontId="4" fillId="0" borderId="55" xfId="0" applyFont="1" applyBorder="1" applyProtection="1">
      <protection hidden="1"/>
    </xf>
    <xf numFmtId="0" fontId="4" fillId="0" borderId="22" xfId="0" applyFont="1" applyBorder="1" applyAlignment="1" applyProtection="1">
      <alignment wrapText="1"/>
      <protection hidden="1"/>
    </xf>
    <xf numFmtId="0" fontId="4" fillId="0" borderId="23" xfId="0" applyFont="1" applyBorder="1" applyAlignment="1" applyProtection="1">
      <alignment wrapText="1"/>
      <protection hidden="1"/>
    </xf>
    <xf numFmtId="0" fontId="8" fillId="0" borderId="24" xfId="0" applyFont="1" applyBorder="1" applyProtection="1">
      <protection hidden="1"/>
    </xf>
    <xf numFmtId="0" fontId="9" fillId="0" borderId="24" xfId="0" applyFont="1" applyBorder="1" applyAlignment="1" applyProtection="1">
      <alignment vertical="top"/>
      <protection hidden="1"/>
    </xf>
    <xf numFmtId="0" fontId="4" fillId="0" borderId="24" xfId="0" applyFont="1" applyBorder="1" applyAlignment="1" applyProtection="1">
      <alignment vertical="top" wrapText="1"/>
      <protection hidden="1"/>
    </xf>
    <xf numFmtId="0" fontId="9" fillId="0" borderId="24" xfId="0" applyFont="1" applyBorder="1" applyAlignment="1" applyProtection="1">
      <alignment vertical="top" wrapText="1"/>
      <protection hidden="1"/>
    </xf>
    <xf numFmtId="0" fontId="4" fillId="0" borderId="26" xfId="0" applyFont="1" applyBorder="1" applyAlignment="1" applyProtection="1">
      <alignment vertical="top"/>
      <protection hidden="1"/>
    </xf>
    <xf numFmtId="0" fontId="4" fillId="0" borderId="24" xfId="0" applyFont="1" applyBorder="1" applyAlignment="1" applyProtection="1">
      <alignment vertical="center"/>
      <protection hidden="1"/>
    </xf>
    <xf numFmtId="0" fontId="4" fillId="0" borderId="56" xfId="0" applyFont="1" applyBorder="1" applyAlignment="1" applyProtection="1">
      <alignment vertical="center"/>
      <protection hidden="1"/>
    </xf>
    <xf numFmtId="0" fontId="4" fillId="0" borderId="25" xfId="0" applyFont="1" applyBorder="1" applyAlignment="1" applyProtection="1">
      <alignment vertical="center" wrapText="1"/>
      <protection hidden="1"/>
    </xf>
    <xf numFmtId="0" fontId="4" fillId="0" borderId="26" xfId="0" applyFont="1" applyBorder="1" applyAlignment="1" applyProtection="1">
      <alignment vertical="center"/>
      <protection hidden="1"/>
    </xf>
    <xf numFmtId="0" fontId="4" fillId="0" borderId="27" xfId="0" applyFont="1" applyBorder="1" applyAlignment="1" applyProtection="1">
      <alignment vertical="center"/>
      <protection hidden="1"/>
    </xf>
    <xf numFmtId="0" fontId="4" fillId="0" borderId="57" xfId="0" applyFont="1" applyBorder="1" applyAlignment="1" applyProtection="1">
      <alignment vertical="center"/>
      <protection hidden="1"/>
    </xf>
    <xf numFmtId="0" fontId="4" fillId="0" borderId="28" xfId="0" applyFont="1" applyBorder="1" applyAlignment="1" applyProtection="1">
      <alignment vertical="center" wrapText="1"/>
      <protection hidden="1"/>
    </xf>
    <xf numFmtId="0" fontId="5" fillId="0" borderId="23" xfId="0" applyFont="1" applyBorder="1" applyAlignment="1" applyProtection="1">
      <alignment vertical="center" wrapText="1"/>
      <protection hidden="1"/>
    </xf>
    <xf numFmtId="0" fontId="4" fillId="0" borderId="58" xfId="0" applyFont="1" applyBorder="1" applyProtection="1">
      <protection hidden="1"/>
    </xf>
    <xf numFmtId="0" fontId="4" fillId="0" borderId="30" xfId="0" applyFont="1" applyBorder="1" applyAlignment="1" applyProtection="1">
      <alignment wrapText="1"/>
      <protection hidden="1"/>
    </xf>
    <xf numFmtId="0" fontId="5" fillId="0" borderId="31" xfId="0" applyFont="1" applyBorder="1" applyAlignment="1" applyProtection="1">
      <alignment vertical="center" wrapText="1"/>
      <protection hidden="1"/>
    </xf>
    <xf numFmtId="0" fontId="4" fillId="0" borderId="24" xfId="0" applyFont="1" applyBorder="1" applyAlignment="1" applyProtection="1">
      <alignment horizontal="left" vertical="center" wrapText="1"/>
      <protection hidden="1"/>
    </xf>
    <xf numFmtId="0" fontId="4" fillId="0" borderId="26" xfId="0" applyFont="1" applyBorder="1" applyAlignment="1" applyProtection="1">
      <alignment horizontal="left" vertical="center" wrapText="1"/>
      <protection hidden="1"/>
    </xf>
    <xf numFmtId="3" fontId="2" fillId="0" borderId="2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2" fillId="0" borderId="8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10" fontId="2" fillId="2" borderId="15" xfId="1" applyNumberFormat="1" applyFont="1" applyFill="1" applyBorder="1" applyProtection="1">
      <protection locked="0"/>
    </xf>
    <xf numFmtId="10" fontId="2" fillId="2" borderId="16" xfId="1" applyNumberFormat="1" applyFont="1" applyFill="1" applyBorder="1" applyProtection="1">
      <protection locked="0"/>
    </xf>
    <xf numFmtId="10" fontId="2" fillId="2" borderId="2" xfId="1" applyNumberFormat="1" applyFont="1" applyFill="1" applyBorder="1" applyProtection="1">
      <protection locked="0"/>
    </xf>
    <xf numFmtId="10" fontId="2" fillId="2" borderId="7" xfId="1" applyNumberFormat="1" applyFont="1" applyFill="1" applyBorder="1" applyProtection="1">
      <protection locked="0"/>
    </xf>
    <xf numFmtId="10" fontId="2" fillId="2" borderId="17" xfId="1" applyNumberFormat="1" applyFont="1" applyFill="1" applyBorder="1" applyProtection="1">
      <protection locked="0"/>
    </xf>
    <xf numFmtId="10" fontId="2" fillId="2" borderId="18" xfId="1" applyNumberFormat="1" applyFont="1" applyFill="1" applyBorder="1" applyProtection="1">
      <protection locked="0"/>
    </xf>
    <xf numFmtId="10" fontId="2" fillId="2" borderId="8" xfId="1" applyNumberFormat="1" applyFont="1" applyFill="1" applyBorder="1" applyProtection="1">
      <protection locked="0"/>
    </xf>
    <xf numFmtId="10" fontId="2" fillId="2" borderId="10" xfId="1" applyNumberFormat="1" applyFont="1" applyFill="1" applyBorder="1" applyProtection="1">
      <protection locked="0"/>
    </xf>
    <xf numFmtId="3" fontId="2" fillId="0" borderId="17" xfId="0" applyNumberFormat="1" applyFont="1" applyBorder="1" applyProtection="1">
      <protection locked="0"/>
    </xf>
    <xf numFmtId="3" fontId="2" fillId="0" borderId="18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14" fontId="14" fillId="0" borderId="0" xfId="0" applyNumberFormat="1" applyFont="1" applyAlignment="1" applyProtection="1">
      <alignment horizontal="left"/>
      <protection locked="0" hidden="1"/>
    </xf>
    <xf numFmtId="0" fontId="14" fillId="0" borderId="0" xfId="0" applyFont="1" applyAlignment="1" applyProtection="1">
      <alignment horizontal="center" wrapText="1"/>
      <protection hidden="1"/>
    </xf>
    <xf numFmtId="165" fontId="15" fillId="0" borderId="49" xfId="0" applyNumberFormat="1" applyFont="1" applyBorder="1" applyAlignment="1" applyProtection="1">
      <alignment horizontal="center"/>
      <protection hidden="1"/>
    </xf>
    <xf numFmtId="165" fontId="19" fillId="0" borderId="0" xfId="0" applyNumberFormat="1" applyFont="1"/>
    <xf numFmtId="165" fontId="10" fillId="0" borderId="0" xfId="0" applyNumberFormat="1" applyFont="1"/>
    <xf numFmtId="0" fontId="24" fillId="3" borderId="0" xfId="0" applyFont="1" applyFill="1"/>
    <xf numFmtId="0" fontId="24" fillId="0" borderId="0" xfId="0" applyFont="1"/>
    <xf numFmtId="0" fontId="25" fillId="3" borderId="0" xfId="0" applyFont="1" applyFill="1"/>
    <xf numFmtId="0" fontId="10" fillId="3" borderId="0" xfId="0" applyFont="1" applyFill="1"/>
    <xf numFmtId="166" fontId="20" fillId="3" borderId="0" xfId="0" applyNumberFormat="1" applyFont="1" applyFill="1"/>
    <xf numFmtId="0" fontId="10" fillId="3" borderId="0" xfId="0" applyFont="1" applyFill="1" applyAlignment="1">
      <alignment horizontal="center"/>
    </xf>
    <xf numFmtId="167" fontId="20" fillId="3" borderId="0" xfId="0" applyNumberFormat="1" applyFont="1" applyFill="1"/>
    <xf numFmtId="168" fontId="20" fillId="3" borderId="0" xfId="0" applyNumberFormat="1" applyFont="1" applyFill="1"/>
    <xf numFmtId="169" fontId="20" fillId="3" borderId="0" xfId="0" applyNumberFormat="1" applyFont="1" applyFill="1"/>
    <xf numFmtId="0" fontId="4" fillId="0" borderId="1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4" fontId="24" fillId="0" borderId="0" xfId="0" applyNumberFormat="1" applyFont="1"/>
    <xf numFmtId="0" fontId="10" fillId="3" borderId="0" xfId="0" applyFont="1" applyFill="1" applyAlignment="1" applyProtection="1">
      <alignment horizontal="left"/>
      <protection locked="0"/>
    </xf>
    <xf numFmtId="0" fontId="2" fillId="0" borderId="71" xfId="0" applyFont="1" applyBorder="1"/>
    <xf numFmtId="3" fontId="2" fillId="0" borderId="72" xfId="0" applyNumberFormat="1" applyFont="1" applyBorder="1" applyProtection="1">
      <protection locked="0"/>
    </xf>
    <xf numFmtId="3" fontId="2" fillId="0" borderId="73" xfId="0" applyNumberFormat="1" applyFont="1" applyBorder="1" applyProtection="1">
      <protection locked="0"/>
    </xf>
    <xf numFmtId="3" fontId="2" fillId="0" borderId="0" xfId="0" applyNumberFormat="1" applyFont="1" applyProtection="1">
      <protection locked="0"/>
    </xf>
    <xf numFmtId="0" fontId="2" fillId="0" borderId="75" xfId="0" applyFont="1" applyBorder="1" applyAlignment="1">
      <alignment vertical="top"/>
    </xf>
    <xf numFmtId="0" fontId="2" fillId="0" borderId="74" xfId="0" applyFont="1" applyBorder="1"/>
    <xf numFmtId="3" fontId="2" fillId="0" borderId="75" xfId="0" applyNumberFormat="1" applyFont="1" applyBorder="1" applyProtection="1">
      <protection locked="0"/>
    </xf>
    <xf numFmtId="3" fontId="2" fillId="0" borderId="76" xfId="0" applyNumberFormat="1" applyFont="1" applyBorder="1" applyProtection="1">
      <protection locked="0"/>
    </xf>
    <xf numFmtId="0" fontId="26" fillId="0" borderId="0" xfId="0" applyFont="1"/>
    <xf numFmtId="3" fontId="2" fillId="0" borderId="77" xfId="0" applyNumberFormat="1" applyFont="1" applyBorder="1" applyProtection="1">
      <protection locked="0"/>
    </xf>
    <xf numFmtId="3" fontId="2" fillId="0" borderId="20" xfId="0" applyNumberFormat="1" applyFont="1" applyBorder="1" applyProtection="1">
      <protection locked="0"/>
    </xf>
    <xf numFmtId="3" fontId="7" fillId="0" borderId="34" xfId="0" applyNumberFormat="1" applyFont="1" applyBorder="1"/>
    <xf numFmtId="3" fontId="2" fillId="0" borderId="30" xfId="0" applyNumberFormat="1" applyFont="1" applyBorder="1" applyProtection="1">
      <protection locked="0"/>
    </xf>
    <xf numFmtId="0" fontId="2" fillId="0" borderId="3" xfId="0" applyFont="1" applyBorder="1" applyAlignment="1">
      <alignment horizontal="left" wrapText="1"/>
    </xf>
    <xf numFmtId="3" fontId="2" fillId="0" borderId="20" xfId="0" applyNumberFormat="1" applyFont="1" applyBorder="1"/>
    <xf numFmtId="3" fontId="2" fillId="0" borderId="18" xfId="0" applyNumberFormat="1" applyFont="1" applyBorder="1"/>
    <xf numFmtId="0" fontId="26" fillId="3" borderId="0" xfId="0" applyFont="1" applyFill="1"/>
    <xf numFmtId="0" fontId="26" fillId="3" borderId="36" xfId="0" applyFont="1" applyFill="1" applyBorder="1"/>
    <xf numFmtId="0" fontId="26" fillId="3" borderId="46" xfId="0" applyFont="1" applyFill="1" applyBorder="1"/>
    <xf numFmtId="0" fontId="26" fillId="3" borderId="40" xfId="0" applyFont="1" applyFill="1" applyBorder="1"/>
    <xf numFmtId="0" fontId="26" fillId="3" borderId="42" xfId="0" applyFont="1" applyFill="1" applyBorder="1"/>
    <xf numFmtId="0" fontId="26" fillId="3" borderId="40" xfId="0" applyFont="1" applyFill="1" applyBorder="1" applyAlignment="1">
      <alignment horizontal="center"/>
    </xf>
    <xf numFmtId="0" fontId="26" fillId="3" borderId="42" xfId="0" applyFont="1" applyFill="1" applyBorder="1" applyAlignment="1">
      <alignment horizontal="center"/>
    </xf>
    <xf numFmtId="0" fontId="26" fillId="3" borderId="43" xfId="0" applyFont="1" applyFill="1" applyBorder="1"/>
    <xf numFmtId="4" fontId="26" fillId="3" borderId="47" xfId="0" applyNumberFormat="1" applyFont="1" applyFill="1" applyBorder="1" applyAlignment="1">
      <alignment horizontal="center"/>
    </xf>
    <xf numFmtId="0" fontId="26" fillId="3" borderId="45" xfId="0" applyFont="1" applyFill="1" applyBorder="1"/>
    <xf numFmtId="0" fontId="26" fillId="3" borderId="48" xfId="0" applyFont="1" applyFill="1" applyBorder="1"/>
    <xf numFmtId="0" fontId="28" fillId="3" borderId="50" xfId="0" applyFont="1" applyFill="1" applyBorder="1"/>
    <xf numFmtId="4" fontId="28" fillId="3" borderId="47" xfId="0" applyNumberFormat="1" applyFont="1" applyFill="1" applyBorder="1" applyAlignment="1">
      <alignment horizontal="center"/>
    </xf>
    <xf numFmtId="0" fontId="26" fillId="3" borderId="44" xfId="0" applyFont="1" applyFill="1" applyBorder="1"/>
    <xf numFmtId="0" fontId="26" fillId="3" borderId="38" xfId="0" applyFont="1" applyFill="1" applyBorder="1"/>
    <xf numFmtId="0" fontId="26" fillId="3" borderId="39" xfId="0" applyFont="1" applyFill="1" applyBorder="1"/>
    <xf numFmtId="0" fontId="26" fillId="3" borderId="0" xfId="0" applyFont="1" applyFill="1" applyAlignment="1">
      <alignment horizontal="center"/>
    </xf>
    <xf numFmtId="0" fontId="26" fillId="3" borderId="38" xfId="0" applyFont="1" applyFill="1" applyBorder="1" applyAlignment="1">
      <alignment horizontal="center"/>
    </xf>
    <xf numFmtId="3" fontId="26" fillId="3" borderId="0" xfId="0" applyNumberFormat="1" applyFont="1" applyFill="1" applyAlignment="1">
      <alignment horizontal="center"/>
    </xf>
    <xf numFmtId="3" fontId="14" fillId="0" borderId="43" xfId="0" applyNumberFormat="1" applyFont="1" applyBorder="1" applyAlignment="1" applyProtection="1">
      <alignment horizontal="center"/>
      <protection hidden="1"/>
    </xf>
    <xf numFmtId="3" fontId="2" fillId="0" borderId="5" xfId="0" applyNumberFormat="1" applyFont="1" applyBorder="1" applyProtection="1">
      <protection locked="0"/>
    </xf>
    <xf numFmtId="3" fontId="2" fillId="0" borderId="6" xfId="0" applyNumberFormat="1" applyFont="1" applyBorder="1" applyProtection="1">
      <protection locked="0"/>
    </xf>
    <xf numFmtId="0" fontId="10" fillId="4" borderId="0" xfId="0" applyFont="1" applyFill="1" applyProtection="1">
      <protection hidden="1"/>
    </xf>
    <xf numFmtId="0" fontId="10" fillId="4" borderId="0" xfId="0" applyFont="1" applyFill="1" applyAlignment="1" applyProtection="1">
      <alignment horizontal="center"/>
      <protection hidden="1"/>
    </xf>
    <xf numFmtId="0" fontId="0" fillId="4" borderId="0" xfId="0" applyFill="1" applyProtection="1">
      <protection hidden="1"/>
    </xf>
    <xf numFmtId="0" fontId="0" fillId="4" borderId="0" xfId="0" applyFill="1"/>
    <xf numFmtId="0" fontId="20" fillId="4" borderId="0" xfId="0" applyFont="1" applyFill="1" applyAlignment="1" applyProtection="1">
      <alignment horizontal="center"/>
      <protection hidden="1"/>
    </xf>
    <xf numFmtId="0" fontId="5" fillId="4" borderId="0" xfId="0" applyFont="1" applyFill="1" applyAlignment="1" applyProtection="1">
      <alignment horizontal="right"/>
      <protection hidden="1"/>
    </xf>
    <xf numFmtId="14" fontId="5" fillId="4" borderId="0" xfId="0" applyNumberFormat="1" applyFont="1" applyFill="1" applyAlignment="1" applyProtection="1">
      <alignment horizontal="left"/>
      <protection hidden="1"/>
    </xf>
    <xf numFmtId="0" fontId="3" fillId="4" borderId="0" xfId="0" applyFont="1" applyFill="1" applyProtection="1">
      <protection hidden="1"/>
    </xf>
    <xf numFmtId="14" fontId="14" fillId="4" borderId="0" xfId="0" applyNumberFormat="1" applyFont="1" applyFill="1" applyAlignment="1" applyProtection="1">
      <alignment horizontal="left"/>
      <protection hidden="1"/>
    </xf>
    <xf numFmtId="0" fontId="4" fillId="4" borderId="68" xfId="0" applyFont="1" applyFill="1" applyBorder="1" applyAlignment="1" applyProtection="1">
      <alignment horizontal="center"/>
      <protection hidden="1"/>
    </xf>
    <xf numFmtId="14" fontId="5" fillId="4" borderId="0" xfId="0" applyNumberFormat="1" applyFont="1" applyFill="1" applyAlignment="1" applyProtection="1">
      <alignment horizontal="center"/>
      <protection hidden="1"/>
    </xf>
    <xf numFmtId="0" fontId="4" fillId="4" borderId="48" xfId="0" applyFont="1" applyFill="1" applyBorder="1" applyAlignment="1" applyProtection="1">
      <alignment vertical="top"/>
      <protection hidden="1"/>
    </xf>
    <xf numFmtId="0" fontId="4" fillId="4" borderId="69" xfId="0" applyFont="1" applyFill="1" applyBorder="1" applyAlignment="1" applyProtection="1">
      <alignment horizontal="center"/>
      <protection hidden="1"/>
    </xf>
    <xf numFmtId="0" fontId="4" fillId="4" borderId="50" xfId="0" applyFont="1" applyFill="1" applyBorder="1" applyAlignment="1" applyProtection="1">
      <alignment horizontal="center"/>
      <protection hidden="1"/>
    </xf>
    <xf numFmtId="0" fontId="4" fillId="4" borderId="47" xfId="0" applyFont="1" applyFill="1" applyBorder="1" applyAlignment="1" applyProtection="1">
      <alignment horizontal="center"/>
      <protection hidden="1"/>
    </xf>
    <xf numFmtId="0" fontId="4" fillId="4" borderId="47" xfId="0" applyFont="1" applyFill="1" applyBorder="1" applyAlignment="1" applyProtection="1">
      <alignment vertical="center"/>
      <protection hidden="1"/>
    </xf>
    <xf numFmtId="3" fontId="4" fillId="4" borderId="44" xfId="0" applyNumberFormat="1" applyFont="1" applyFill="1" applyBorder="1" applyAlignment="1" applyProtection="1">
      <alignment horizontal="center"/>
      <protection hidden="1"/>
    </xf>
    <xf numFmtId="3" fontId="4" fillId="4" borderId="37" xfId="0" applyNumberFormat="1" applyFont="1" applyFill="1" applyBorder="1" applyAlignment="1" applyProtection="1">
      <alignment horizontal="center"/>
      <protection hidden="1"/>
    </xf>
    <xf numFmtId="3" fontId="4" fillId="4" borderId="43" xfId="0" applyNumberFormat="1" applyFont="1" applyFill="1" applyBorder="1" applyAlignment="1" applyProtection="1">
      <alignment horizontal="center"/>
      <protection hidden="1"/>
    </xf>
    <xf numFmtId="0" fontId="4" fillId="4" borderId="43" xfId="0" applyFont="1" applyFill="1" applyBorder="1" applyAlignment="1" applyProtection="1">
      <alignment vertical="center"/>
      <protection hidden="1"/>
    </xf>
    <xf numFmtId="0" fontId="4" fillId="4" borderId="44" xfId="0" applyFont="1" applyFill="1" applyBorder="1" applyAlignment="1" applyProtection="1">
      <alignment vertical="center"/>
      <protection hidden="1"/>
    </xf>
    <xf numFmtId="3" fontId="4" fillId="4" borderId="45" xfId="0" applyNumberFormat="1" applyFont="1" applyFill="1" applyBorder="1" applyAlignment="1" applyProtection="1">
      <alignment horizontal="center"/>
      <protection hidden="1"/>
    </xf>
    <xf numFmtId="3" fontId="4" fillId="4" borderId="41" xfId="0" applyNumberFormat="1" applyFont="1" applyFill="1" applyBorder="1" applyAlignment="1" applyProtection="1">
      <alignment horizontal="center"/>
      <protection hidden="1"/>
    </xf>
    <xf numFmtId="0" fontId="4" fillId="4" borderId="45" xfId="0" applyFont="1" applyFill="1" applyBorder="1" applyAlignment="1" applyProtection="1">
      <alignment vertical="center"/>
      <protection hidden="1"/>
    </xf>
    <xf numFmtId="0" fontId="5" fillId="4" borderId="0" xfId="0" applyFont="1" applyFill="1" applyAlignment="1" applyProtection="1">
      <alignment vertical="top"/>
      <protection hidden="1"/>
    </xf>
    <xf numFmtId="0" fontId="4" fillId="4" borderId="0" xfId="0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vertical="center"/>
      <protection hidden="1"/>
    </xf>
    <xf numFmtId="0" fontId="3" fillId="4" borderId="0" xfId="0" applyFont="1" applyFill="1" applyAlignment="1" applyProtection="1">
      <alignment vertical="top"/>
      <protection hidden="1"/>
    </xf>
    <xf numFmtId="0" fontId="4" fillId="4" borderId="47" xfId="0" applyFont="1" applyFill="1" applyBorder="1" applyAlignment="1" applyProtection="1">
      <alignment vertical="top"/>
      <protection hidden="1"/>
    </xf>
    <xf numFmtId="3" fontId="4" fillId="4" borderId="47" xfId="0" applyNumberFormat="1" applyFont="1" applyFill="1" applyBorder="1" applyAlignment="1" applyProtection="1">
      <alignment horizontal="center"/>
      <protection hidden="1"/>
    </xf>
    <xf numFmtId="0" fontId="4" fillId="4" borderId="47" xfId="0" applyFont="1" applyFill="1" applyBorder="1" applyAlignment="1" applyProtection="1">
      <alignment horizontal="right" vertical="top"/>
      <protection hidden="1"/>
    </xf>
    <xf numFmtId="0" fontId="4" fillId="4" borderId="0" xfId="0" applyFont="1" applyFill="1" applyAlignment="1" applyProtection="1">
      <alignment horizontal="right" vertical="top"/>
      <protection hidden="1"/>
    </xf>
    <xf numFmtId="0" fontId="10" fillId="3" borderId="0" xfId="0" applyFont="1" applyFill="1" applyProtection="1">
      <protection hidden="1"/>
    </xf>
    <xf numFmtId="0" fontId="10" fillId="3" borderId="0" xfId="0" applyFont="1" applyFill="1" applyAlignment="1" applyProtection="1">
      <alignment horizontal="center"/>
      <protection hidden="1"/>
    </xf>
    <xf numFmtId="0" fontId="14" fillId="3" borderId="0" xfId="0" applyFont="1" applyFill="1" applyAlignment="1" applyProtection="1">
      <alignment horizontal="right"/>
      <protection hidden="1"/>
    </xf>
    <xf numFmtId="0" fontId="14" fillId="3" borderId="0" xfId="0" applyFont="1" applyFill="1" applyProtection="1">
      <protection hidden="1"/>
    </xf>
    <xf numFmtId="14" fontId="14" fillId="3" borderId="0" xfId="0" applyNumberFormat="1" applyFont="1" applyFill="1" applyProtection="1">
      <protection hidden="1"/>
    </xf>
    <xf numFmtId="0" fontId="3" fillId="3" borderId="0" xfId="0" applyFont="1" applyFill="1" applyProtection="1">
      <protection hidden="1"/>
    </xf>
    <xf numFmtId="14" fontId="5" fillId="3" borderId="0" xfId="0" applyNumberFormat="1" applyFont="1" applyFill="1"/>
    <xf numFmtId="0" fontId="14" fillId="3" borderId="48" xfId="0" applyFont="1" applyFill="1" applyBorder="1" applyAlignment="1" applyProtection="1">
      <alignment vertical="top"/>
      <protection hidden="1"/>
    </xf>
    <xf numFmtId="0" fontId="14" fillId="3" borderId="64" xfId="0" applyFont="1" applyFill="1" applyBorder="1" applyAlignment="1" applyProtection="1">
      <alignment horizontal="center" wrapText="1"/>
      <protection hidden="1"/>
    </xf>
    <xf numFmtId="0" fontId="14" fillId="3" borderId="49" xfId="0" applyFont="1" applyFill="1" applyBorder="1" applyAlignment="1" applyProtection="1">
      <alignment horizontal="center" wrapText="1"/>
      <protection hidden="1"/>
    </xf>
    <xf numFmtId="0" fontId="14" fillId="3" borderId="48" xfId="0" applyFont="1" applyFill="1" applyBorder="1" applyAlignment="1" applyProtection="1">
      <alignment horizontal="center" wrapText="1"/>
      <protection hidden="1"/>
    </xf>
    <xf numFmtId="0" fontId="10" fillId="3" borderId="38" xfId="0" applyFont="1" applyFill="1" applyBorder="1"/>
    <xf numFmtId="0" fontId="14" fillId="3" borderId="44" xfId="0" applyFont="1" applyFill="1" applyBorder="1" applyAlignment="1" applyProtection="1">
      <alignment vertical="top"/>
      <protection hidden="1"/>
    </xf>
    <xf numFmtId="165" fontId="14" fillId="3" borderId="0" xfId="0" applyNumberFormat="1" applyFont="1" applyFill="1" applyAlignment="1" applyProtection="1">
      <alignment horizontal="center"/>
      <protection hidden="1"/>
    </xf>
    <xf numFmtId="165" fontId="14" fillId="3" borderId="38" xfId="0" applyNumberFormat="1" applyFont="1" applyFill="1" applyBorder="1" applyAlignment="1" applyProtection="1">
      <alignment horizontal="center"/>
      <protection hidden="1"/>
    </xf>
    <xf numFmtId="0" fontId="15" fillId="3" borderId="47" xfId="0" applyFont="1" applyFill="1" applyBorder="1" applyAlignment="1" applyProtection="1">
      <alignment horizontal="right" vertical="center"/>
      <protection hidden="1"/>
    </xf>
    <xf numFmtId="165" fontId="15" fillId="3" borderId="49" xfId="0" applyNumberFormat="1" applyFont="1" applyFill="1" applyBorder="1" applyAlignment="1" applyProtection="1">
      <alignment horizontal="center"/>
      <protection hidden="1"/>
    </xf>
    <xf numFmtId="165" fontId="15" fillId="3" borderId="48" xfId="0" applyNumberFormat="1" applyFont="1" applyFill="1" applyBorder="1" applyAlignment="1" applyProtection="1">
      <alignment horizontal="center"/>
      <protection hidden="1"/>
    </xf>
    <xf numFmtId="0" fontId="14" fillId="3" borderId="0" xfId="0" applyFont="1" applyFill="1" applyAlignment="1" applyProtection="1">
      <alignment vertical="top"/>
      <protection hidden="1"/>
    </xf>
    <xf numFmtId="0" fontId="14" fillId="3" borderId="0" xfId="0" applyFont="1" applyFill="1" applyAlignment="1" applyProtection="1">
      <alignment horizontal="center"/>
      <protection hidden="1"/>
    </xf>
    <xf numFmtId="0" fontId="15" fillId="3" borderId="0" xfId="0" applyFont="1" applyFill="1" applyAlignment="1" applyProtection="1">
      <alignment vertical="top"/>
      <protection hidden="1"/>
    </xf>
    <xf numFmtId="0" fontId="14" fillId="3" borderId="36" xfId="0" applyFont="1" applyFill="1" applyBorder="1" applyAlignment="1" applyProtection="1">
      <alignment vertical="top"/>
      <protection hidden="1"/>
    </xf>
    <xf numFmtId="0" fontId="14" fillId="3" borderId="36" xfId="0" applyFont="1" applyFill="1" applyBorder="1" applyAlignment="1" applyProtection="1">
      <alignment horizontal="center" wrapText="1"/>
      <protection hidden="1"/>
    </xf>
    <xf numFmtId="165" fontId="14" fillId="3" borderId="48" xfId="0" applyNumberFormat="1" applyFont="1" applyFill="1" applyBorder="1" applyAlignment="1" applyProtection="1">
      <alignment horizontal="center"/>
      <protection hidden="1"/>
    </xf>
    <xf numFmtId="0" fontId="15" fillId="3" borderId="40" xfId="0" applyFont="1" applyFill="1" applyBorder="1" applyAlignment="1" applyProtection="1">
      <alignment horizontal="right" vertical="center"/>
      <protection hidden="1"/>
    </xf>
    <xf numFmtId="165" fontId="15" fillId="3" borderId="40" xfId="0" applyNumberFormat="1" applyFont="1" applyFill="1" applyBorder="1" applyAlignment="1" applyProtection="1">
      <alignment horizontal="center"/>
      <protection hidden="1"/>
    </xf>
    <xf numFmtId="0" fontId="14" fillId="3" borderId="0" xfId="0" applyFont="1" applyFill="1" applyAlignment="1" applyProtection="1">
      <alignment horizontal="right" vertical="top"/>
      <protection hidden="1"/>
    </xf>
    <xf numFmtId="0" fontId="15" fillId="3" borderId="48" xfId="0" applyFont="1" applyFill="1" applyBorder="1" applyAlignment="1" applyProtection="1">
      <alignment horizontal="right" vertical="center"/>
      <protection hidden="1"/>
    </xf>
    <xf numFmtId="0" fontId="14" fillId="3" borderId="38" xfId="0" applyFont="1" applyFill="1" applyBorder="1" applyAlignment="1" applyProtection="1">
      <alignment wrapText="1"/>
      <protection hidden="1"/>
    </xf>
    <xf numFmtId="0" fontId="14" fillId="3" borderId="47" xfId="0" applyFont="1" applyFill="1" applyBorder="1" applyAlignment="1" applyProtection="1">
      <alignment vertical="top"/>
      <protection hidden="1"/>
    </xf>
    <xf numFmtId="165" fontId="14" fillId="3" borderId="49" xfId="0" applyNumberFormat="1" applyFont="1" applyFill="1" applyBorder="1" applyAlignment="1" applyProtection="1">
      <alignment horizontal="center"/>
      <protection hidden="1"/>
    </xf>
    <xf numFmtId="0" fontId="15" fillId="3" borderId="0" xfId="0" applyFont="1" applyFill="1" applyProtection="1">
      <protection hidden="1"/>
    </xf>
    <xf numFmtId="165" fontId="14" fillId="3" borderId="44" xfId="0" applyNumberFormat="1" applyFont="1" applyFill="1" applyBorder="1" applyAlignment="1" applyProtection="1">
      <alignment horizontal="center"/>
      <protection hidden="1"/>
    </xf>
    <xf numFmtId="165" fontId="14" fillId="3" borderId="45" xfId="0" applyNumberFormat="1" applyFont="1" applyFill="1" applyBorder="1" applyAlignment="1" applyProtection="1">
      <alignment horizontal="center"/>
      <protection hidden="1"/>
    </xf>
    <xf numFmtId="165" fontId="14" fillId="3" borderId="41" xfId="0" applyNumberFormat="1" applyFont="1" applyFill="1" applyBorder="1" applyAlignment="1" applyProtection="1">
      <alignment horizontal="center"/>
      <protection hidden="1"/>
    </xf>
    <xf numFmtId="165" fontId="15" fillId="3" borderId="47" xfId="0" applyNumberFormat="1" applyFont="1" applyFill="1" applyBorder="1" applyAlignment="1" applyProtection="1">
      <alignment horizontal="center"/>
      <protection hidden="1"/>
    </xf>
    <xf numFmtId="0" fontId="19" fillId="3" borderId="0" xfId="0" applyFont="1" applyFill="1"/>
    <xf numFmtId="0" fontId="14" fillId="3" borderId="0" xfId="0" applyFont="1" applyFill="1" applyAlignment="1" applyProtection="1">
      <alignment horizontal="left"/>
      <protection hidden="1"/>
    </xf>
    <xf numFmtId="0" fontId="14" fillId="3" borderId="0" xfId="0" applyFont="1" applyFill="1"/>
    <xf numFmtId="14" fontId="14" fillId="3" borderId="0" xfId="0" applyNumberFormat="1" applyFont="1" applyFill="1" applyAlignment="1" applyProtection="1">
      <alignment horizontal="left"/>
      <protection hidden="1"/>
    </xf>
    <xf numFmtId="0" fontId="14" fillId="3" borderId="68" xfId="0" applyFont="1" applyFill="1" applyBorder="1" applyAlignment="1" applyProtection="1">
      <alignment horizontal="center"/>
      <protection hidden="1"/>
    </xf>
    <xf numFmtId="0" fontId="14" fillId="3" borderId="69" xfId="0" applyFont="1" applyFill="1" applyBorder="1" applyAlignment="1" applyProtection="1">
      <alignment horizontal="center"/>
      <protection hidden="1"/>
    </xf>
    <xf numFmtId="0" fontId="14" fillId="3" borderId="49" xfId="0" applyFont="1" applyFill="1" applyBorder="1" applyAlignment="1" applyProtection="1">
      <alignment horizontal="center"/>
      <protection hidden="1"/>
    </xf>
    <xf numFmtId="0" fontId="14" fillId="3" borderId="47" xfId="0" applyFont="1" applyFill="1" applyBorder="1" applyAlignment="1" applyProtection="1">
      <alignment horizontal="center"/>
      <protection hidden="1"/>
    </xf>
    <xf numFmtId="0" fontId="14" fillId="3" borderId="50" xfId="0" applyFont="1" applyFill="1" applyBorder="1" applyAlignment="1" applyProtection="1">
      <alignment horizontal="center"/>
      <protection hidden="1"/>
    </xf>
    <xf numFmtId="0" fontId="14" fillId="3" borderId="38" xfId="0" applyFont="1" applyFill="1" applyBorder="1" applyAlignment="1" applyProtection="1">
      <alignment vertical="top"/>
      <protection hidden="1"/>
    </xf>
    <xf numFmtId="165" fontId="14" fillId="3" borderId="39" xfId="0" applyNumberFormat="1" applyFont="1" applyFill="1" applyBorder="1" applyAlignment="1" applyProtection="1">
      <alignment horizontal="center"/>
      <protection hidden="1"/>
    </xf>
    <xf numFmtId="0" fontId="14" fillId="3" borderId="40" xfId="0" applyFont="1" applyFill="1" applyBorder="1" applyAlignment="1" applyProtection="1">
      <alignment vertical="top"/>
      <protection hidden="1"/>
    </xf>
    <xf numFmtId="165" fontId="14" fillId="3" borderId="42" xfId="0" applyNumberFormat="1" applyFont="1" applyFill="1" applyBorder="1" applyAlignment="1" applyProtection="1">
      <alignment horizontal="center"/>
      <protection hidden="1"/>
    </xf>
    <xf numFmtId="0" fontId="14" fillId="3" borderId="40" xfId="0" applyFont="1" applyFill="1" applyBorder="1" applyAlignment="1" applyProtection="1">
      <alignment horizontal="right" vertical="top"/>
      <protection hidden="1"/>
    </xf>
    <xf numFmtId="165" fontId="14" fillId="3" borderId="47" xfId="0" applyNumberFormat="1" applyFont="1" applyFill="1" applyBorder="1" applyAlignment="1" applyProtection="1">
      <alignment horizontal="center"/>
      <protection hidden="1"/>
    </xf>
    <xf numFmtId="0" fontId="14" fillId="3" borderId="47" xfId="0" applyFont="1" applyFill="1" applyBorder="1" applyAlignment="1" applyProtection="1">
      <alignment horizontal="right" vertical="top"/>
      <protection hidden="1"/>
    </xf>
    <xf numFmtId="0" fontId="15" fillId="3" borderId="47" xfId="0" applyFont="1" applyFill="1" applyBorder="1" applyAlignment="1" applyProtection="1">
      <alignment horizontal="right" vertical="top"/>
      <protection hidden="1"/>
    </xf>
    <xf numFmtId="0" fontId="14" fillId="3" borderId="0" xfId="0" applyFont="1" applyFill="1" applyAlignment="1" applyProtection="1">
      <alignment horizontal="center" wrapText="1"/>
      <protection hidden="1"/>
    </xf>
    <xf numFmtId="0" fontId="14" fillId="3" borderId="0" xfId="0" applyFont="1" applyFill="1" applyAlignment="1">
      <alignment horizontal="center"/>
    </xf>
    <xf numFmtId="0" fontId="4" fillId="0" borderId="21" xfId="0" applyFont="1" applyBorder="1" applyProtection="1">
      <protection hidden="1"/>
    </xf>
    <xf numFmtId="0" fontId="5" fillId="0" borderId="61" xfId="0" applyFont="1" applyBorder="1" applyProtection="1">
      <protection hidden="1"/>
    </xf>
    <xf numFmtId="164" fontId="4" fillId="0" borderId="56" xfId="0" applyNumberFormat="1" applyFont="1" applyBorder="1" applyAlignment="1" applyProtection="1">
      <alignment horizontal="center" vertical="top" wrapText="1"/>
      <protection hidden="1"/>
    </xf>
    <xf numFmtId="0" fontId="5" fillId="0" borderId="27" xfId="0" applyFont="1" applyBorder="1" applyProtection="1">
      <protection hidden="1"/>
    </xf>
    <xf numFmtId="0" fontId="5" fillId="0" borderId="30" xfId="0" applyFont="1" applyBorder="1" applyProtection="1">
      <protection hidden="1"/>
    </xf>
    <xf numFmtId="0" fontId="29" fillId="3" borderId="47" xfId="0" applyFont="1" applyFill="1" applyBorder="1"/>
    <xf numFmtId="3" fontId="29" fillId="3" borderId="47" xfId="0" applyNumberFormat="1" applyFont="1" applyFill="1" applyBorder="1" applyAlignment="1">
      <alignment horizontal="center"/>
    </xf>
    <xf numFmtId="171" fontId="29" fillId="3" borderId="47" xfId="0" applyNumberFormat="1" applyFont="1" applyFill="1" applyBorder="1" applyAlignment="1">
      <alignment horizontal="center"/>
    </xf>
    <xf numFmtId="170" fontId="29" fillId="3" borderId="47" xfId="0" applyNumberFormat="1" applyFont="1" applyFill="1" applyBorder="1" applyAlignment="1">
      <alignment horizontal="center"/>
    </xf>
    <xf numFmtId="0" fontId="32" fillId="3" borderId="47" xfId="0" applyFont="1" applyFill="1" applyBorder="1"/>
    <xf numFmtId="0" fontId="32" fillId="3" borderId="47" xfId="0" applyFont="1" applyFill="1" applyBorder="1" applyAlignment="1">
      <alignment horizontal="center"/>
    </xf>
    <xf numFmtId="0" fontId="30" fillId="3" borderId="43" xfId="0" applyFont="1" applyFill="1" applyBorder="1"/>
    <xf numFmtId="3" fontId="30" fillId="3" borderId="43" xfId="0" applyNumberFormat="1" applyFont="1" applyFill="1" applyBorder="1" applyAlignment="1">
      <alignment horizontal="center"/>
    </xf>
    <xf numFmtId="171" fontId="31" fillId="3" borderId="43" xfId="0" applyNumberFormat="1" applyFont="1" applyFill="1" applyBorder="1" applyAlignment="1">
      <alignment horizontal="center"/>
    </xf>
    <xf numFmtId="170" fontId="31" fillId="3" borderId="43" xfId="0" applyNumberFormat="1" applyFont="1" applyFill="1" applyBorder="1" applyAlignment="1">
      <alignment horizontal="center"/>
    </xf>
    <xf numFmtId="170" fontId="30" fillId="3" borderId="43" xfId="0" applyNumberFormat="1" applyFont="1" applyFill="1" applyBorder="1" applyAlignment="1">
      <alignment horizontal="center"/>
    </xf>
    <xf numFmtId="171" fontId="30" fillId="3" borderId="43" xfId="0" applyNumberFormat="1" applyFont="1" applyFill="1" applyBorder="1" applyAlignment="1">
      <alignment horizontal="center"/>
    </xf>
    <xf numFmtId="0" fontId="30" fillId="3" borderId="45" xfId="0" applyFont="1" applyFill="1" applyBorder="1"/>
    <xf numFmtId="3" fontId="30" fillId="3" borderId="45" xfId="0" applyNumberFormat="1" applyFont="1" applyFill="1" applyBorder="1" applyAlignment="1">
      <alignment horizontal="center"/>
    </xf>
    <xf numFmtId="171" fontId="31" fillId="3" borderId="45" xfId="0" applyNumberFormat="1" applyFont="1" applyFill="1" applyBorder="1" applyAlignment="1">
      <alignment horizontal="center"/>
    </xf>
    <xf numFmtId="170" fontId="31" fillId="3" borderId="45" xfId="0" applyNumberFormat="1" applyFont="1" applyFill="1" applyBorder="1" applyAlignment="1">
      <alignment horizontal="center"/>
    </xf>
    <xf numFmtId="170" fontId="30" fillId="3" borderId="45" xfId="0" applyNumberFormat="1" applyFont="1" applyFill="1" applyBorder="1" applyAlignment="1">
      <alignment horizontal="center"/>
    </xf>
    <xf numFmtId="171" fontId="30" fillId="3" borderId="45" xfId="0" applyNumberFormat="1" applyFont="1" applyFill="1" applyBorder="1" applyAlignment="1">
      <alignment horizontal="center"/>
    </xf>
    <xf numFmtId="0" fontId="30" fillId="3" borderId="44" xfId="0" applyFont="1" applyFill="1" applyBorder="1"/>
    <xf numFmtId="3" fontId="30" fillId="3" borderId="44" xfId="0" applyNumberFormat="1" applyFont="1" applyFill="1" applyBorder="1" applyAlignment="1">
      <alignment horizontal="center"/>
    </xf>
    <xf numFmtId="171" fontId="31" fillId="3" borderId="44" xfId="0" applyNumberFormat="1" applyFont="1" applyFill="1" applyBorder="1" applyAlignment="1">
      <alignment horizontal="center"/>
    </xf>
    <xf numFmtId="170" fontId="31" fillId="3" borderId="44" xfId="0" applyNumberFormat="1" applyFont="1" applyFill="1" applyBorder="1" applyAlignment="1">
      <alignment horizontal="center"/>
    </xf>
    <xf numFmtId="170" fontId="30" fillId="3" borderId="44" xfId="0" applyNumberFormat="1" applyFont="1" applyFill="1" applyBorder="1" applyAlignment="1">
      <alignment horizontal="center"/>
    </xf>
    <xf numFmtId="171" fontId="30" fillId="3" borderId="44" xfId="0" applyNumberFormat="1" applyFont="1" applyFill="1" applyBorder="1" applyAlignment="1">
      <alignment horizontal="center"/>
    </xf>
    <xf numFmtId="0" fontId="32" fillId="3" borderId="48" xfId="0" applyFont="1" applyFill="1" applyBorder="1"/>
    <xf numFmtId="0" fontId="29" fillId="3" borderId="49" xfId="0" applyFont="1" applyFill="1" applyBorder="1"/>
    <xf numFmtId="0" fontId="29" fillId="3" borderId="50" xfId="0" applyFont="1" applyFill="1" applyBorder="1"/>
    <xf numFmtId="0" fontId="29" fillId="3" borderId="47" xfId="0" applyFont="1" applyFill="1" applyBorder="1" applyAlignment="1">
      <alignment horizontal="center"/>
    </xf>
    <xf numFmtId="3" fontId="29" fillId="3" borderId="49" xfId="0" applyNumberFormat="1" applyFont="1" applyFill="1" applyBorder="1" applyAlignment="1">
      <alignment horizontal="center"/>
    </xf>
    <xf numFmtId="3" fontId="29" fillId="3" borderId="50" xfId="0" applyNumberFormat="1" applyFont="1" applyFill="1" applyBorder="1" applyAlignment="1">
      <alignment horizontal="center"/>
    </xf>
    <xf numFmtId="3" fontId="32" fillId="3" borderId="47" xfId="0" applyNumberFormat="1" applyFont="1" applyFill="1" applyBorder="1" applyAlignment="1">
      <alignment horizontal="center"/>
    </xf>
    <xf numFmtId="171" fontId="32" fillId="3" borderId="47" xfId="0" applyNumberFormat="1" applyFont="1" applyFill="1" applyBorder="1" applyAlignment="1">
      <alignment horizontal="center"/>
    </xf>
    <xf numFmtId="172" fontId="32" fillId="3" borderId="47" xfId="0" applyNumberFormat="1" applyFont="1" applyFill="1" applyBorder="1" applyAlignment="1">
      <alignment horizontal="center"/>
    </xf>
    <xf numFmtId="0" fontId="29" fillId="3" borderId="49" xfId="0" applyFont="1" applyFill="1" applyBorder="1" applyAlignment="1">
      <alignment horizontal="center"/>
    </xf>
    <xf numFmtId="0" fontId="29" fillId="3" borderId="50" xfId="0" applyFont="1" applyFill="1" applyBorder="1" applyAlignment="1">
      <alignment horizontal="center"/>
    </xf>
    <xf numFmtId="172" fontId="29" fillId="3" borderId="47" xfId="0" applyNumberFormat="1" applyFont="1" applyFill="1" applyBorder="1" applyAlignment="1">
      <alignment horizontal="center"/>
    </xf>
    <xf numFmtId="0" fontId="30" fillId="3" borderId="43" xfId="0" applyFont="1" applyFill="1" applyBorder="1" applyAlignment="1">
      <alignment horizontal="center"/>
    </xf>
    <xf numFmtId="172" fontId="30" fillId="3" borderId="43" xfId="0" applyNumberFormat="1" applyFont="1" applyFill="1" applyBorder="1" applyAlignment="1">
      <alignment horizontal="center"/>
    </xf>
    <xf numFmtId="0" fontId="30" fillId="3" borderId="44" xfId="0" applyFont="1" applyFill="1" applyBorder="1" applyAlignment="1">
      <alignment horizontal="center"/>
    </xf>
    <xf numFmtId="172" fontId="30" fillId="3" borderId="44" xfId="0" applyNumberFormat="1" applyFont="1" applyFill="1" applyBorder="1" applyAlignment="1">
      <alignment horizontal="center"/>
    </xf>
    <xf numFmtId="0" fontId="30" fillId="3" borderId="45" xfId="0" applyFont="1" applyFill="1" applyBorder="1" applyAlignment="1">
      <alignment horizontal="center"/>
    </xf>
    <xf numFmtId="172" fontId="30" fillId="3" borderId="45" xfId="0" applyNumberFormat="1" applyFont="1" applyFill="1" applyBorder="1" applyAlignment="1">
      <alignment horizontal="center"/>
    </xf>
    <xf numFmtId="0" fontId="26" fillId="3" borderId="37" xfId="0" applyFont="1" applyFill="1" applyBorder="1"/>
    <xf numFmtId="0" fontId="26" fillId="3" borderId="41" xfId="0" applyFont="1" applyFill="1" applyBorder="1"/>
    <xf numFmtId="0" fontId="28" fillId="3" borderId="49" xfId="0" applyFont="1" applyFill="1" applyBorder="1"/>
    <xf numFmtId="0" fontId="26" fillId="3" borderId="41" xfId="0" applyFont="1" applyFill="1" applyBorder="1" applyAlignment="1">
      <alignment horizontal="center"/>
    </xf>
    <xf numFmtId="4" fontId="26" fillId="3" borderId="50" xfId="0" applyNumberFormat="1" applyFont="1" applyFill="1" applyBorder="1" applyAlignment="1">
      <alignment horizontal="center"/>
    </xf>
    <xf numFmtId="4" fontId="28" fillId="3" borderId="50" xfId="0" applyNumberFormat="1" applyFont="1" applyFill="1" applyBorder="1" applyAlignment="1">
      <alignment horizontal="center"/>
    </xf>
    <xf numFmtId="0" fontId="26" fillId="3" borderId="80" xfId="0" applyFont="1" applyFill="1" applyBorder="1" applyAlignment="1">
      <alignment horizontal="center"/>
    </xf>
    <xf numFmtId="0" fontId="26" fillId="3" borderId="81" xfId="0" applyFont="1" applyFill="1" applyBorder="1" applyAlignment="1">
      <alignment horizontal="center"/>
    </xf>
    <xf numFmtId="4" fontId="26" fillId="3" borderId="82" xfId="0" applyNumberFormat="1" applyFont="1" applyFill="1" applyBorder="1" applyAlignment="1">
      <alignment horizontal="center"/>
    </xf>
    <xf numFmtId="4" fontId="26" fillId="3" borderId="83" xfId="0" applyNumberFormat="1" applyFont="1" applyFill="1" applyBorder="1" applyAlignment="1">
      <alignment horizontal="center"/>
    </xf>
    <xf numFmtId="4" fontId="28" fillId="3" borderId="84" xfId="0" applyNumberFormat="1" applyFont="1" applyFill="1" applyBorder="1" applyAlignment="1">
      <alignment horizontal="center"/>
    </xf>
    <xf numFmtId="4" fontId="28" fillId="3" borderId="85" xfId="0" applyNumberFormat="1" applyFont="1" applyFill="1" applyBorder="1" applyAlignment="1">
      <alignment horizontal="center"/>
    </xf>
    <xf numFmtId="0" fontId="14" fillId="0" borderId="36" xfId="0" applyFont="1" applyBorder="1" applyAlignment="1" applyProtection="1">
      <alignment wrapText="1"/>
      <protection hidden="1"/>
    </xf>
    <xf numFmtId="0" fontId="14" fillId="0" borderId="40" xfId="0" applyFont="1" applyBorder="1" applyAlignment="1" applyProtection="1">
      <alignment wrapText="1"/>
      <protection hidden="1"/>
    </xf>
    <xf numFmtId="0" fontId="4" fillId="0" borderId="86" xfId="0" applyFont="1" applyBorder="1" applyProtection="1">
      <protection hidden="1"/>
    </xf>
    <xf numFmtId="0" fontId="5" fillId="0" borderId="86" xfId="0" applyFont="1" applyBorder="1" applyProtection="1">
      <protection hidden="1"/>
    </xf>
    <xf numFmtId="164" fontId="4" fillId="0" borderId="87" xfId="0" applyNumberFormat="1" applyFont="1" applyBorder="1" applyAlignment="1" applyProtection="1">
      <alignment horizontal="center"/>
      <protection hidden="1"/>
    </xf>
    <xf numFmtId="0" fontId="2" fillId="0" borderId="2" xfId="0" quotePrefix="1" applyFont="1" applyBorder="1" applyAlignment="1">
      <alignment vertical="top"/>
    </xf>
    <xf numFmtId="0" fontId="26" fillId="3" borderId="43" xfId="0" quotePrefix="1" applyFont="1" applyFill="1" applyBorder="1"/>
    <xf numFmtId="0" fontId="2" fillId="0" borderId="88" xfId="0" applyFont="1" applyBorder="1"/>
    <xf numFmtId="3" fontId="2" fillId="0" borderId="89" xfId="0" applyNumberFormat="1" applyFont="1" applyBorder="1" applyProtection="1">
      <protection locked="0"/>
    </xf>
    <xf numFmtId="3" fontId="2" fillId="0" borderId="90" xfId="0" applyNumberFormat="1" applyFont="1" applyBorder="1" applyProtection="1">
      <protection locked="0"/>
    </xf>
    <xf numFmtId="3" fontId="2" fillId="0" borderId="91" xfId="0" applyNumberFormat="1" applyFont="1" applyBorder="1" applyProtection="1">
      <protection locked="0"/>
    </xf>
    <xf numFmtId="0" fontId="2" fillId="0" borderId="92" xfId="0" applyFont="1" applyBorder="1"/>
    <xf numFmtId="3" fontId="2" fillId="0" borderId="93" xfId="0" applyNumberFormat="1" applyFont="1" applyBorder="1" applyProtection="1">
      <protection locked="0"/>
    </xf>
    <xf numFmtId="3" fontId="2" fillId="0" borderId="94" xfId="0" applyNumberFormat="1" applyFont="1" applyBorder="1" applyProtection="1">
      <protection locked="0"/>
    </xf>
    <xf numFmtId="3" fontId="2" fillId="2" borderId="0" xfId="0" applyNumberFormat="1" applyFont="1" applyFill="1"/>
    <xf numFmtId="3" fontId="2" fillId="2" borderId="7" xfId="0" applyNumberFormat="1" applyFont="1" applyFill="1" applyBorder="1"/>
    <xf numFmtId="3" fontId="2" fillId="2" borderId="2" xfId="0" applyNumberFormat="1" applyFont="1" applyFill="1" applyBorder="1"/>
    <xf numFmtId="0" fontId="29" fillId="3" borderId="47" xfId="0" applyFont="1" applyFill="1" applyBorder="1" applyAlignment="1">
      <alignment wrapText="1"/>
    </xf>
    <xf numFmtId="0" fontId="30" fillId="3" borderId="43" xfId="0" quotePrefix="1" applyFont="1" applyFill="1" applyBorder="1"/>
    <xf numFmtId="0" fontId="14" fillId="3" borderId="38" xfId="0" applyFont="1" applyFill="1" applyBorder="1" applyAlignment="1" applyProtection="1">
      <alignment vertical="top" wrapText="1"/>
      <protection hidden="1"/>
    </xf>
    <xf numFmtId="165" fontId="14" fillId="3" borderId="44" xfId="0" applyNumberFormat="1" applyFont="1" applyFill="1" applyBorder="1" applyAlignment="1" applyProtection="1">
      <alignment horizontal="center" vertical="center"/>
      <protection hidden="1"/>
    </xf>
    <xf numFmtId="165" fontId="14" fillId="3" borderId="0" xfId="0" applyNumberFormat="1" applyFont="1" applyFill="1" applyAlignment="1" applyProtection="1">
      <alignment horizontal="center" vertical="center"/>
      <protection hidden="1"/>
    </xf>
    <xf numFmtId="165" fontId="14" fillId="3" borderId="39" xfId="0" applyNumberFormat="1" applyFont="1" applyFill="1" applyBorder="1" applyAlignment="1" applyProtection="1">
      <alignment horizontal="center" vertical="center"/>
      <protection hidden="1"/>
    </xf>
    <xf numFmtId="0" fontId="14" fillId="3" borderId="44" xfId="0" applyFont="1" applyFill="1" applyBorder="1" applyAlignment="1" applyProtection="1">
      <alignment vertical="top" wrapText="1"/>
      <protection hidden="1"/>
    </xf>
    <xf numFmtId="165" fontId="14" fillId="3" borderId="38" xfId="0" applyNumberFormat="1" applyFont="1" applyFill="1" applyBorder="1" applyAlignment="1" applyProtection="1">
      <alignment horizontal="center" vertical="center"/>
      <protection hidden="1"/>
    </xf>
    <xf numFmtId="3" fontId="15" fillId="0" borderId="48" xfId="0" applyNumberFormat="1" applyFont="1" applyBorder="1" applyAlignment="1" applyProtection="1">
      <alignment horizontal="center" vertical="center" wrapText="1"/>
      <protection hidden="1"/>
    </xf>
    <xf numFmtId="0" fontId="28" fillId="3" borderId="0" xfId="0" applyFont="1" applyFill="1"/>
    <xf numFmtId="4" fontId="28" fillId="3" borderId="0" xfId="0" applyNumberFormat="1" applyFont="1" applyFill="1" applyAlignment="1">
      <alignment horizontal="center"/>
    </xf>
    <xf numFmtId="0" fontId="26" fillId="3" borderId="95" xfId="0" applyFont="1" applyFill="1" applyBorder="1"/>
    <xf numFmtId="0" fontId="15" fillId="3" borderId="0" xfId="0" applyFont="1" applyFill="1" applyAlignment="1" applyProtection="1">
      <alignment horizontal="right" vertical="center"/>
      <protection hidden="1"/>
    </xf>
    <xf numFmtId="165" fontId="15" fillId="3" borderId="0" xfId="0" applyNumberFormat="1" applyFont="1" applyFill="1" applyAlignment="1" applyProtection="1">
      <alignment horizontal="center"/>
      <protection hidden="1"/>
    </xf>
    <xf numFmtId="3" fontId="29" fillId="3" borderId="43" xfId="0" applyNumberFormat="1" applyFont="1" applyFill="1" applyBorder="1" applyAlignment="1">
      <alignment horizontal="center"/>
    </xf>
    <xf numFmtId="3" fontId="2" fillId="2" borderId="17" xfId="0" applyNumberFormat="1" applyFont="1" applyFill="1" applyBorder="1"/>
    <xf numFmtId="3" fontId="2" fillId="2" borderId="18" xfId="0" applyNumberFormat="1" applyFont="1" applyFill="1" applyBorder="1"/>
    <xf numFmtId="3" fontId="2" fillId="2" borderId="20" xfId="0" applyNumberFormat="1" applyFont="1" applyFill="1" applyBorder="1"/>
    <xf numFmtId="3" fontId="7" fillId="0" borderId="20" xfId="0" applyNumberFormat="1" applyFont="1" applyBorder="1"/>
    <xf numFmtId="3" fontId="7" fillId="0" borderId="17" xfId="0" applyNumberFormat="1" applyFont="1" applyBorder="1"/>
    <xf numFmtId="3" fontId="7" fillId="0" borderId="18" xfId="0" applyNumberFormat="1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3" fontId="2" fillId="0" borderId="0" xfId="0" applyNumberFormat="1" applyFont="1"/>
    <xf numFmtId="0" fontId="2" fillId="0" borderId="17" xfId="0" applyFont="1" applyBorder="1"/>
    <xf numFmtId="0" fontId="2" fillId="0" borderId="75" xfId="0" applyFont="1" applyBorder="1"/>
    <xf numFmtId="3" fontId="2" fillId="0" borderId="17" xfId="0" applyNumberFormat="1" applyFont="1" applyBorder="1"/>
    <xf numFmtId="0" fontId="15" fillId="0" borderId="44" xfId="0" applyFont="1" applyBorder="1" applyProtection="1">
      <protection hidden="1"/>
    </xf>
    <xf numFmtId="0" fontId="14" fillId="0" borderId="50" xfId="0" applyFont="1" applyBorder="1" applyProtection="1">
      <protection hidden="1"/>
    </xf>
    <xf numFmtId="165" fontId="29" fillId="3" borderId="47" xfId="0" applyNumberFormat="1" applyFont="1" applyFill="1" applyBorder="1" applyAlignment="1">
      <alignment horizontal="center"/>
    </xf>
    <xf numFmtId="171" fontId="29" fillId="3" borderId="43" xfId="0" applyNumberFormat="1" applyFont="1" applyFill="1" applyBorder="1" applyAlignment="1">
      <alignment horizontal="center"/>
    </xf>
    <xf numFmtId="170" fontId="32" fillId="3" borderId="47" xfId="0" applyNumberFormat="1" applyFont="1" applyFill="1" applyBorder="1" applyAlignment="1">
      <alignment horizontal="center"/>
    </xf>
    <xf numFmtId="0" fontId="3" fillId="3" borderId="0" xfId="0" applyFont="1" applyFill="1" applyAlignment="1" applyProtection="1">
      <alignment vertical="top"/>
      <protection hidden="1"/>
    </xf>
    <xf numFmtId="0" fontId="14" fillId="0" borderId="48" xfId="0" applyFont="1" applyBorder="1" applyAlignment="1" applyProtection="1">
      <alignment horizontal="center" wrapText="1"/>
      <protection hidden="1"/>
    </xf>
    <xf numFmtId="0" fontId="14" fillId="0" borderId="47" xfId="0" applyFont="1" applyBorder="1" applyAlignment="1" applyProtection="1">
      <alignment horizontal="center" wrapText="1"/>
      <protection hidden="1"/>
    </xf>
    <xf numFmtId="0" fontId="33" fillId="0" borderId="38" xfId="0" applyFont="1" applyBorder="1" applyAlignment="1" applyProtection="1">
      <alignment vertical="top"/>
      <protection hidden="1"/>
    </xf>
    <xf numFmtId="0" fontId="14" fillId="0" borderId="38" xfId="0" applyFont="1" applyBorder="1" applyAlignment="1" applyProtection="1">
      <alignment horizontal="center" wrapText="1"/>
      <protection hidden="1"/>
    </xf>
    <xf numFmtId="0" fontId="14" fillId="0" borderId="36" xfId="0" applyFont="1" applyBorder="1" applyAlignment="1" applyProtection="1">
      <alignment horizontal="center" wrapText="1"/>
      <protection hidden="1"/>
    </xf>
    <xf numFmtId="0" fontId="14" fillId="0" borderId="43" xfId="0" applyFont="1" applyBorder="1" applyAlignment="1" applyProtection="1">
      <alignment horizontal="center" wrapText="1"/>
      <protection hidden="1"/>
    </xf>
    <xf numFmtId="0" fontId="14" fillId="0" borderId="44" xfId="0" applyFont="1" applyBorder="1" applyAlignment="1" applyProtection="1">
      <alignment horizontal="center" wrapText="1"/>
      <protection hidden="1"/>
    </xf>
    <xf numFmtId="0" fontId="14" fillId="0" borderId="44" xfId="0" applyFont="1" applyBorder="1" applyAlignment="1" applyProtection="1">
      <alignment wrapText="1"/>
      <protection hidden="1"/>
    </xf>
    <xf numFmtId="165" fontId="14" fillId="0" borderId="44" xfId="0" applyNumberFormat="1" applyFont="1" applyBorder="1" applyAlignment="1" applyProtection="1">
      <alignment horizontal="center"/>
      <protection hidden="1"/>
    </xf>
    <xf numFmtId="0" fontId="33" fillId="0" borderId="44" xfId="0" applyFont="1" applyBorder="1" applyAlignment="1" applyProtection="1">
      <alignment wrapText="1"/>
      <protection hidden="1"/>
    </xf>
    <xf numFmtId="0" fontId="14" fillId="0" borderId="45" xfId="0" applyFont="1" applyBorder="1" applyAlignment="1" applyProtection="1">
      <alignment vertical="top"/>
      <protection hidden="1"/>
    </xf>
    <xf numFmtId="165" fontId="14" fillId="0" borderId="45" xfId="0" applyNumberFormat="1" applyFont="1" applyBorder="1" applyAlignment="1" applyProtection="1">
      <alignment horizontal="center"/>
      <protection hidden="1"/>
    </xf>
    <xf numFmtId="0" fontId="26" fillId="3" borderId="44" xfId="0" quotePrefix="1" applyFont="1" applyFill="1" applyBorder="1"/>
    <xf numFmtId="0" fontId="29" fillId="3" borderId="47" xfId="0" applyFont="1" applyFill="1" applyBorder="1" applyAlignment="1">
      <alignment horizontal="center" wrapText="1"/>
    </xf>
    <xf numFmtId="0" fontId="26" fillId="3" borderId="96" xfId="0" applyFont="1" applyFill="1" applyBorder="1"/>
    <xf numFmtId="0" fontId="14" fillId="0" borderId="41" xfId="0" applyFont="1" applyBorder="1" applyProtection="1">
      <protection hidden="1"/>
    </xf>
    <xf numFmtId="0" fontId="2" fillId="0" borderId="1" xfId="0" applyFont="1" applyBorder="1" applyAlignment="1">
      <alignment vertical="top"/>
    </xf>
    <xf numFmtId="0" fontId="2" fillId="0" borderId="3" xfId="0" applyFont="1" applyBorder="1"/>
    <xf numFmtId="3" fontId="2" fillId="0" borderId="4" xfId="0" applyNumberFormat="1" applyFont="1" applyBorder="1" applyProtection="1">
      <protection locked="0"/>
    </xf>
    <xf numFmtId="3" fontId="2" fillId="0" borderId="1" xfId="0" applyNumberFormat="1" applyFont="1" applyBorder="1" applyProtection="1">
      <protection locked="0"/>
    </xf>
    <xf numFmtId="3" fontId="2" fillId="0" borderId="16" xfId="0" applyNumberFormat="1" applyFont="1" applyBorder="1" applyProtection="1">
      <protection locked="0"/>
    </xf>
    <xf numFmtId="3" fontId="2" fillId="0" borderId="15" xfId="0" applyNumberFormat="1" applyFont="1" applyBorder="1" applyProtection="1">
      <protection locked="0"/>
    </xf>
    <xf numFmtId="165" fontId="14" fillId="3" borderId="40" xfId="0" applyNumberFormat="1" applyFont="1" applyFill="1" applyBorder="1" applyAlignment="1" applyProtection="1">
      <alignment horizontal="center"/>
      <protection hidden="1"/>
    </xf>
    <xf numFmtId="0" fontId="15" fillId="0" borderId="45" xfId="0" applyFont="1" applyBorder="1" applyAlignment="1" applyProtection="1">
      <alignment vertical="top" wrapText="1"/>
      <protection hidden="1"/>
    </xf>
    <xf numFmtId="164" fontId="4" fillId="0" borderId="98" xfId="0" applyNumberFormat="1" applyFont="1" applyBorder="1" applyAlignment="1" applyProtection="1">
      <alignment horizontal="center"/>
      <protection hidden="1"/>
    </xf>
    <xf numFmtId="0" fontId="2" fillId="0" borderId="99" xfId="0" applyFont="1" applyBorder="1" applyAlignment="1" applyProtection="1">
      <alignment vertical="top" wrapText="1"/>
      <protection hidden="1"/>
    </xf>
    <xf numFmtId="0" fontId="2" fillId="0" borderId="99" xfId="0" applyFont="1" applyBorder="1" applyAlignment="1" applyProtection="1">
      <alignment horizontal="center" wrapText="1"/>
      <protection hidden="1"/>
    </xf>
    <xf numFmtId="4" fontId="2" fillId="0" borderId="99" xfId="0" applyNumberFormat="1" applyFont="1" applyBorder="1" applyAlignment="1" applyProtection="1">
      <alignment horizontal="center" wrapText="1"/>
      <protection hidden="1"/>
    </xf>
    <xf numFmtId="3" fontId="2" fillId="0" borderId="99" xfId="0" applyNumberFormat="1" applyFont="1" applyBorder="1" applyAlignment="1" applyProtection="1">
      <alignment horizontal="center" wrapText="1"/>
      <protection hidden="1"/>
    </xf>
    <xf numFmtId="3" fontId="2" fillId="0" borderId="99" xfId="0" applyNumberFormat="1" applyFont="1" applyBorder="1" applyAlignment="1" applyProtection="1">
      <alignment wrapText="1"/>
      <protection hidden="1"/>
    </xf>
    <xf numFmtId="3" fontId="2" fillId="0" borderId="99" xfId="0" applyNumberFormat="1" applyFont="1" applyBorder="1" applyProtection="1">
      <protection hidden="1"/>
    </xf>
    <xf numFmtId="0" fontId="2" fillId="0" borderId="68" xfId="0" applyFont="1" applyBorder="1" applyAlignment="1" applyProtection="1">
      <alignment vertical="top"/>
      <protection hidden="1"/>
    </xf>
    <xf numFmtId="3" fontId="2" fillId="0" borderId="68" xfId="0" applyNumberFormat="1" applyFont="1" applyBorder="1" applyAlignment="1" applyProtection="1">
      <alignment horizontal="center" vertical="top"/>
      <protection hidden="1"/>
    </xf>
    <xf numFmtId="0" fontId="2" fillId="0" borderId="68" xfId="0" applyFont="1" applyBorder="1" applyAlignment="1" applyProtection="1">
      <alignment horizontal="center" vertical="top"/>
      <protection hidden="1"/>
    </xf>
    <xf numFmtId="9" fontId="2" fillId="0" borderId="68" xfId="1" applyFont="1" applyBorder="1" applyAlignment="1" applyProtection="1">
      <alignment horizontal="center" vertical="top"/>
      <protection hidden="1"/>
    </xf>
    <xf numFmtId="2" fontId="2" fillId="0" borderId="68" xfId="0" applyNumberFormat="1" applyFont="1" applyBorder="1" applyAlignment="1" applyProtection="1">
      <alignment horizontal="center" vertical="top"/>
      <protection hidden="1"/>
    </xf>
    <xf numFmtId="165" fontId="2" fillId="0" borderId="68" xfId="0" applyNumberFormat="1" applyFont="1" applyBorder="1" applyAlignment="1" applyProtection="1">
      <alignment horizontal="center" vertical="top"/>
      <protection hidden="1"/>
    </xf>
    <xf numFmtId="164" fontId="2" fillId="0" borderId="68" xfId="0" applyNumberFormat="1" applyFont="1" applyBorder="1" applyAlignment="1" applyProtection="1">
      <alignment horizontal="center" vertical="top"/>
      <protection hidden="1"/>
    </xf>
    <xf numFmtId="3" fontId="2" fillId="0" borderId="68" xfId="0" applyNumberFormat="1" applyFont="1" applyBorder="1" applyProtection="1">
      <protection hidden="1"/>
    </xf>
    <xf numFmtId="0" fontId="2" fillId="0" borderId="101" xfId="0" applyFont="1" applyBorder="1" applyAlignment="1" applyProtection="1">
      <alignment vertical="top"/>
      <protection hidden="1"/>
    </xf>
    <xf numFmtId="3" fontId="2" fillId="0" borderId="101" xfId="0" applyNumberFormat="1" applyFont="1" applyBorder="1" applyAlignment="1" applyProtection="1">
      <alignment horizontal="center" vertical="top"/>
      <protection hidden="1"/>
    </xf>
    <xf numFmtId="0" fontId="2" fillId="0" borderId="101" xfId="0" applyFont="1" applyBorder="1" applyAlignment="1" applyProtection="1">
      <alignment horizontal="center" vertical="top"/>
      <protection hidden="1"/>
    </xf>
    <xf numFmtId="9" fontId="2" fillId="0" borderId="101" xfId="1" applyFont="1" applyBorder="1" applyAlignment="1" applyProtection="1">
      <alignment horizontal="center" vertical="top"/>
      <protection hidden="1"/>
    </xf>
    <xf numFmtId="2" fontId="2" fillId="0" borderId="101" xfId="0" applyNumberFormat="1" applyFont="1" applyBorder="1" applyAlignment="1" applyProtection="1">
      <alignment horizontal="center" vertical="top"/>
      <protection hidden="1"/>
    </xf>
    <xf numFmtId="165" fontId="2" fillId="0" borderId="101" xfId="0" applyNumberFormat="1" applyFont="1" applyBorder="1" applyAlignment="1" applyProtection="1">
      <alignment horizontal="center" vertical="top"/>
      <protection hidden="1"/>
    </xf>
    <xf numFmtId="164" fontId="2" fillId="0" borderId="101" xfId="0" applyNumberFormat="1" applyFont="1" applyBorder="1" applyAlignment="1" applyProtection="1">
      <alignment horizontal="center" vertical="top"/>
      <protection hidden="1"/>
    </xf>
    <xf numFmtId="3" fontId="2" fillId="0" borderId="101" xfId="0" applyNumberFormat="1" applyFont="1" applyBorder="1" applyProtection="1">
      <protection hidden="1"/>
    </xf>
    <xf numFmtId="0" fontId="2" fillId="0" borderId="100" xfId="0" applyFont="1" applyBorder="1" applyAlignment="1" applyProtection="1">
      <alignment vertical="top"/>
      <protection hidden="1"/>
    </xf>
    <xf numFmtId="3" fontId="2" fillId="0" borderId="100" xfId="0" applyNumberFormat="1" applyFont="1" applyBorder="1" applyAlignment="1" applyProtection="1">
      <alignment horizontal="center" vertical="top"/>
      <protection hidden="1"/>
    </xf>
    <xf numFmtId="0" fontId="2" fillId="0" borderId="100" xfId="0" applyFont="1" applyBorder="1" applyAlignment="1" applyProtection="1">
      <alignment horizontal="center" vertical="top"/>
      <protection hidden="1"/>
    </xf>
    <xf numFmtId="9" fontId="2" fillId="0" borderId="100" xfId="1" applyFont="1" applyBorder="1" applyAlignment="1" applyProtection="1">
      <alignment horizontal="center" vertical="top"/>
      <protection hidden="1"/>
    </xf>
    <xf numFmtId="2" fontId="2" fillId="0" borderId="100" xfId="0" applyNumberFormat="1" applyFont="1" applyBorder="1" applyAlignment="1" applyProtection="1">
      <alignment horizontal="center" vertical="top"/>
      <protection hidden="1"/>
    </xf>
    <xf numFmtId="165" fontId="2" fillId="0" borderId="100" xfId="0" applyNumberFormat="1" applyFont="1" applyBorder="1" applyAlignment="1" applyProtection="1">
      <alignment horizontal="center" vertical="top"/>
      <protection hidden="1"/>
    </xf>
    <xf numFmtId="164" fontId="2" fillId="0" borderId="100" xfId="0" applyNumberFormat="1" applyFont="1" applyBorder="1" applyAlignment="1" applyProtection="1">
      <alignment horizontal="center" vertical="top"/>
      <protection hidden="1"/>
    </xf>
    <xf numFmtId="3" fontId="2" fillId="0" borderId="100" xfId="0" applyNumberFormat="1" applyFont="1" applyBorder="1" applyProtection="1">
      <protection hidden="1"/>
    </xf>
    <xf numFmtId="0" fontId="0" fillId="0" borderId="102" xfId="0" applyBorder="1" applyProtection="1">
      <protection hidden="1"/>
    </xf>
    <xf numFmtId="0" fontId="0" fillId="0" borderId="103" xfId="0" applyBorder="1" applyProtection="1">
      <protection hidden="1"/>
    </xf>
    <xf numFmtId="3" fontId="2" fillId="0" borderId="104" xfId="0" applyNumberFormat="1" applyFont="1" applyBorder="1" applyAlignment="1" applyProtection="1">
      <alignment horizontal="center"/>
      <protection hidden="1"/>
    </xf>
    <xf numFmtId="3" fontId="2" fillId="0" borderId="99" xfId="0" applyNumberFormat="1" applyFont="1" applyBorder="1" applyAlignment="1" applyProtection="1">
      <alignment horizontal="center"/>
      <protection hidden="1"/>
    </xf>
    <xf numFmtId="0" fontId="0" fillId="0" borderId="99" xfId="0" applyBorder="1" applyProtection="1">
      <protection hidden="1"/>
    </xf>
    <xf numFmtId="0" fontId="14" fillId="3" borderId="45" xfId="0" applyFont="1" applyFill="1" applyBorder="1" applyAlignment="1" applyProtection="1">
      <alignment vertical="top" wrapText="1"/>
      <protection hidden="1"/>
    </xf>
    <xf numFmtId="165" fontId="14" fillId="3" borderId="36" xfId="0" applyNumberFormat="1" applyFont="1" applyFill="1" applyBorder="1" applyAlignment="1" applyProtection="1">
      <alignment horizontal="center"/>
      <protection hidden="1"/>
    </xf>
    <xf numFmtId="0" fontId="15" fillId="3" borderId="48" xfId="0" applyFont="1" applyFill="1" applyBorder="1" applyAlignment="1" applyProtection="1">
      <alignment vertical="top"/>
      <protection hidden="1"/>
    </xf>
    <xf numFmtId="0" fontId="15" fillId="0" borderId="47" xfId="0" applyFont="1" applyBorder="1" applyAlignment="1" applyProtection="1">
      <alignment horizontal="left"/>
      <protection hidden="1"/>
    </xf>
    <xf numFmtId="0" fontId="15" fillId="0" borderId="47" xfId="0" applyFont="1" applyBorder="1" applyAlignment="1" applyProtection="1">
      <alignment horizontal="left" wrapText="1"/>
      <protection hidden="1"/>
    </xf>
    <xf numFmtId="0" fontId="14" fillId="3" borderId="38" xfId="0" applyFont="1" applyFill="1" applyBorder="1" applyAlignment="1" applyProtection="1">
      <alignment vertical="center" wrapText="1"/>
      <protection hidden="1"/>
    </xf>
    <xf numFmtId="0" fontId="14" fillId="3" borderId="40" xfId="0" applyFont="1" applyFill="1" applyBorder="1" applyAlignment="1" applyProtection="1">
      <alignment vertical="center" wrapText="1"/>
      <protection hidden="1"/>
    </xf>
    <xf numFmtId="165" fontId="14" fillId="3" borderId="48" xfId="0" applyNumberFormat="1" applyFont="1" applyFill="1" applyBorder="1" applyAlignment="1" applyProtection="1">
      <alignment horizontal="center" wrapText="1"/>
      <protection hidden="1"/>
    </xf>
    <xf numFmtId="0" fontId="14" fillId="3" borderId="52" xfId="0" applyFont="1" applyFill="1" applyBorder="1" applyAlignment="1" applyProtection="1">
      <alignment horizontal="center" wrapText="1"/>
      <protection hidden="1"/>
    </xf>
    <xf numFmtId="165" fontId="14" fillId="3" borderId="105" xfId="0" applyNumberFormat="1" applyFont="1" applyFill="1" applyBorder="1" applyAlignment="1" applyProtection="1">
      <alignment horizontal="center"/>
      <protection hidden="1"/>
    </xf>
    <xf numFmtId="165" fontId="14" fillId="3" borderId="106" xfId="0" applyNumberFormat="1" applyFont="1" applyFill="1" applyBorder="1" applyAlignment="1" applyProtection="1">
      <alignment horizontal="center"/>
      <protection hidden="1"/>
    </xf>
    <xf numFmtId="165" fontId="14" fillId="3" borderId="107" xfId="0" applyNumberFormat="1" applyFont="1" applyFill="1" applyBorder="1" applyAlignment="1" applyProtection="1">
      <alignment horizontal="center"/>
      <protection hidden="1"/>
    </xf>
    <xf numFmtId="165" fontId="14" fillId="3" borderId="108" xfId="0" applyNumberFormat="1" applyFont="1" applyFill="1" applyBorder="1" applyAlignment="1" applyProtection="1">
      <alignment horizontal="center"/>
      <protection hidden="1"/>
    </xf>
    <xf numFmtId="165" fontId="14" fillId="3" borderId="109" xfId="0" applyNumberFormat="1" applyFont="1" applyFill="1" applyBorder="1" applyAlignment="1" applyProtection="1">
      <alignment horizontal="center" wrapText="1"/>
      <protection hidden="1"/>
    </xf>
    <xf numFmtId="165" fontId="15" fillId="3" borderId="110" xfId="0" applyNumberFormat="1" applyFont="1" applyFill="1" applyBorder="1" applyAlignment="1" applyProtection="1">
      <alignment horizontal="center"/>
      <protection hidden="1"/>
    </xf>
    <xf numFmtId="165" fontId="15" fillId="3" borderId="52" xfId="0" applyNumberFormat="1" applyFont="1" applyFill="1" applyBorder="1" applyAlignment="1" applyProtection="1">
      <alignment horizontal="center"/>
      <protection hidden="1"/>
    </xf>
    <xf numFmtId="165" fontId="14" fillId="3" borderId="52" xfId="0" applyNumberFormat="1" applyFont="1" applyFill="1" applyBorder="1" applyAlignment="1" applyProtection="1">
      <alignment horizontal="center" wrapText="1"/>
      <protection hidden="1"/>
    </xf>
    <xf numFmtId="165" fontId="15" fillId="3" borderId="108" xfId="0" applyNumberFormat="1" applyFont="1" applyFill="1" applyBorder="1" applyAlignment="1" applyProtection="1">
      <alignment horizontal="center"/>
      <protection hidden="1"/>
    </xf>
    <xf numFmtId="0" fontId="15" fillId="0" borderId="40" xfId="0" applyFont="1" applyBorder="1" applyAlignment="1" applyProtection="1">
      <alignment vertical="top" wrapText="1"/>
      <protection hidden="1"/>
    </xf>
    <xf numFmtId="0" fontId="33" fillId="0" borderId="48" xfId="0" applyFont="1" applyBorder="1" applyAlignment="1" applyProtection="1">
      <alignment vertical="top" wrapText="1"/>
      <protection hidden="1"/>
    </xf>
    <xf numFmtId="0" fontId="33" fillId="0" borderId="47" xfId="0" applyFont="1" applyBorder="1" applyProtection="1">
      <protection hidden="1"/>
    </xf>
    <xf numFmtId="3" fontId="33" fillId="0" borderId="49" xfId="0" applyNumberFormat="1" applyFont="1" applyBorder="1" applyAlignment="1" applyProtection="1">
      <alignment horizontal="center"/>
      <protection hidden="1"/>
    </xf>
    <xf numFmtId="3" fontId="33" fillId="0" borderId="48" xfId="0" applyNumberFormat="1" applyFont="1" applyBorder="1" applyAlignment="1" applyProtection="1">
      <alignment horizontal="center"/>
      <protection hidden="1"/>
    </xf>
    <xf numFmtId="3" fontId="33" fillId="0" borderId="47" xfId="0" applyNumberFormat="1" applyFont="1" applyBorder="1" applyAlignment="1" applyProtection="1">
      <alignment horizontal="center"/>
      <protection hidden="1"/>
    </xf>
    <xf numFmtId="0" fontId="15" fillId="0" borderId="49" xfId="0" applyFont="1" applyBorder="1" applyAlignment="1" applyProtection="1">
      <alignment wrapText="1"/>
      <protection hidden="1"/>
    </xf>
    <xf numFmtId="0" fontId="14" fillId="0" borderId="49" xfId="0" applyFont="1" applyBorder="1" applyAlignment="1" applyProtection="1">
      <alignment wrapText="1"/>
      <protection hidden="1"/>
    </xf>
    <xf numFmtId="0" fontId="14" fillId="0" borderId="47" xfId="0" applyFont="1" applyBorder="1" applyAlignment="1" applyProtection="1">
      <alignment vertical="top" wrapText="1"/>
      <protection hidden="1"/>
    </xf>
    <xf numFmtId="0" fontId="15" fillId="3" borderId="49" xfId="0" applyFont="1" applyFill="1" applyBorder="1" applyAlignment="1" applyProtection="1">
      <alignment vertical="top"/>
      <protection hidden="1"/>
    </xf>
    <xf numFmtId="3" fontId="4" fillId="4" borderId="49" xfId="0" applyNumberFormat="1" applyFont="1" applyFill="1" applyBorder="1" applyAlignment="1" applyProtection="1">
      <alignment horizontal="center"/>
      <protection hidden="1"/>
    </xf>
    <xf numFmtId="0" fontId="4" fillId="4" borderId="49" xfId="0" applyFont="1" applyFill="1" applyBorder="1" applyAlignment="1" applyProtection="1">
      <alignment vertical="center"/>
      <protection hidden="1"/>
    </xf>
    <xf numFmtId="0" fontId="34" fillId="0" borderId="0" xfId="0" applyFont="1"/>
    <xf numFmtId="3" fontId="4" fillId="4" borderId="0" xfId="0" applyNumberFormat="1" applyFont="1" applyFill="1" applyAlignment="1" applyProtection="1">
      <alignment horizontal="center"/>
      <protection hidden="1"/>
    </xf>
    <xf numFmtId="3" fontId="4" fillId="4" borderId="46" xfId="0" applyNumberFormat="1" applyFont="1" applyFill="1" applyBorder="1" applyAlignment="1" applyProtection="1">
      <alignment horizontal="center"/>
      <protection hidden="1"/>
    </xf>
    <xf numFmtId="3" fontId="4" fillId="4" borderId="39" xfId="0" applyNumberFormat="1" applyFont="1" applyFill="1" applyBorder="1" applyAlignment="1" applyProtection="1">
      <alignment horizontal="center"/>
      <protection hidden="1"/>
    </xf>
    <xf numFmtId="0" fontId="4" fillId="4" borderId="36" xfId="0" applyFont="1" applyFill="1" applyBorder="1" applyAlignment="1" applyProtection="1">
      <alignment horizontal="left"/>
      <protection hidden="1"/>
    </xf>
    <xf numFmtId="0" fontId="4" fillId="4" borderId="38" xfId="0" applyFont="1" applyFill="1" applyBorder="1" applyAlignment="1" applyProtection="1">
      <alignment horizontal="left" wrapText="1"/>
      <protection hidden="1"/>
    </xf>
    <xf numFmtId="0" fontId="4" fillId="4" borderId="38" xfId="0" applyFont="1" applyFill="1" applyBorder="1" applyAlignment="1" applyProtection="1">
      <alignment horizontal="left"/>
      <protection hidden="1"/>
    </xf>
    <xf numFmtId="0" fontId="4" fillId="4" borderId="40" xfId="0" applyFont="1" applyFill="1" applyBorder="1" applyAlignment="1" applyProtection="1">
      <alignment horizontal="left"/>
      <protection hidden="1"/>
    </xf>
    <xf numFmtId="0" fontId="4" fillId="4" borderId="43" xfId="0" applyFont="1" applyFill="1" applyBorder="1" applyAlignment="1" applyProtection="1">
      <alignment horizontal="left"/>
      <protection hidden="1"/>
    </xf>
    <xf numFmtId="0" fontId="4" fillId="4" borderId="45" xfId="0" applyFont="1" applyFill="1" applyBorder="1" applyAlignment="1" applyProtection="1">
      <alignment horizontal="left"/>
      <protection hidden="1"/>
    </xf>
    <xf numFmtId="0" fontId="4" fillId="3" borderId="38" xfId="0" applyFont="1" applyFill="1" applyBorder="1" applyAlignment="1" applyProtection="1">
      <alignment horizontal="left" wrapText="1"/>
      <protection hidden="1"/>
    </xf>
    <xf numFmtId="0" fontId="4" fillId="3" borderId="45" xfId="0" applyFont="1" applyFill="1" applyBorder="1" applyAlignment="1" applyProtection="1">
      <alignment horizontal="left" wrapText="1"/>
      <protection hidden="1"/>
    </xf>
    <xf numFmtId="0" fontId="14" fillId="0" borderId="0" xfId="0" applyFont="1" applyAlignment="1" applyProtection="1">
      <alignment vertical="top" wrapText="1"/>
      <protection hidden="1"/>
    </xf>
    <xf numFmtId="165" fontId="15" fillId="0" borderId="0" xfId="0" applyNumberFormat="1" applyFont="1" applyAlignment="1" applyProtection="1">
      <alignment horizontal="center"/>
      <protection hidden="1"/>
    </xf>
    <xf numFmtId="165" fontId="15" fillId="0" borderId="45" xfId="0" applyNumberFormat="1" applyFont="1" applyBorder="1" applyAlignment="1" applyProtection="1">
      <alignment horizontal="center"/>
      <protection hidden="1"/>
    </xf>
    <xf numFmtId="165" fontId="33" fillId="0" borderId="49" xfId="0" applyNumberFormat="1" applyFont="1" applyBorder="1" applyAlignment="1" applyProtection="1">
      <alignment horizontal="center"/>
      <protection hidden="1"/>
    </xf>
    <xf numFmtId="165" fontId="33" fillId="0" borderId="48" xfId="0" applyNumberFormat="1" applyFont="1" applyBorder="1" applyAlignment="1" applyProtection="1">
      <alignment horizontal="center"/>
      <protection hidden="1"/>
    </xf>
    <xf numFmtId="165" fontId="33" fillId="0" borderId="47" xfId="0" applyNumberFormat="1" applyFont="1" applyBorder="1" applyAlignment="1" applyProtection="1">
      <alignment horizontal="center"/>
      <protection hidden="1"/>
    </xf>
    <xf numFmtId="0" fontId="14" fillId="0" borderId="43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top" wrapText="1"/>
      <protection hidden="1"/>
    </xf>
    <xf numFmtId="0" fontId="14" fillId="0" borderId="43" xfId="0" applyFont="1" applyBorder="1" applyAlignment="1" applyProtection="1">
      <alignment wrapText="1"/>
      <protection hidden="1"/>
    </xf>
    <xf numFmtId="0" fontId="14" fillId="0" borderId="45" xfId="0" applyFont="1" applyBorder="1" applyAlignment="1" applyProtection="1">
      <alignment wrapText="1"/>
      <protection hidden="1"/>
    </xf>
    <xf numFmtId="0" fontId="7" fillId="0" borderId="77" xfId="0" applyFont="1" applyBorder="1" applyAlignment="1" applyProtection="1">
      <alignment vertical="top" wrapText="1"/>
      <protection hidden="1"/>
    </xf>
    <xf numFmtId="0" fontId="7" fillId="0" borderId="111" xfId="0" applyFont="1" applyBorder="1" applyAlignment="1" applyProtection="1">
      <alignment vertical="top" wrapText="1"/>
      <protection hidden="1"/>
    </xf>
    <xf numFmtId="0" fontId="7" fillId="0" borderId="112" xfId="0" applyFont="1" applyBorder="1" applyAlignment="1" applyProtection="1">
      <alignment vertical="top" wrapText="1"/>
      <protection hidden="1"/>
    </xf>
    <xf numFmtId="0" fontId="7" fillId="0" borderId="113" xfId="0" applyFont="1" applyBorder="1" applyAlignment="1" applyProtection="1">
      <alignment vertical="top" wrapText="1"/>
      <protection hidden="1"/>
    </xf>
    <xf numFmtId="0" fontId="7" fillId="0" borderId="113" xfId="0" applyFont="1" applyBorder="1"/>
    <xf numFmtId="0" fontId="7" fillId="0" borderId="114" xfId="0" applyFont="1" applyBorder="1" applyAlignment="1" applyProtection="1">
      <alignment vertical="top" wrapText="1"/>
      <protection hidden="1"/>
    </xf>
    <xf numFmtId="0" fontId="2" fillId="0" borderId="114" xfId="0" applyFont="1" applyBorder="1"/>
    <xf numFmtId="0" fontId="7" fillId="0" borderId="115" xfId="0" applyFont="1" applyBorder="1" applyAlignment="1" applyProtection="1">
      <alignment vertical="top" wrapText="1"/>
      <protection hidden="1"/>
    </xf>
    <xf numFmtId="0" fontId="7" fillId="0" borderId="74" xfId="0" applyFont="1" applyBorder="1"/>
    <xf numFmtId="0" fontId="7" fillId="0" borderId="75" xfId="0" applyFont="1" applyBorder="1" applyAlignment="1">
      <alignment vertical="top"/>
    </xf>
    <xf numFmtId="0" fontId="7" fillId="0" borderId="75" xfId="0" applyFont="1" applyBorder="1"/>
    <xf numFmtId="4" fontId="7" fillId="0" borderId="75" xfId="0" applyNumberFormat="1" applyFont="1" applyBorder="1"/>
    <xf numFmtId="4" fontId="7" fillId="0" borderId="76" xfId="0" applyNumberFormat="1" applyFont="1" applyBorder="1"/>
    <xf numFmtId="0" fontId="7" fillId="0" borderId="9" xfId="0" applyFont="1" applyBorder="1" applyAlignment="1" applyProtection="1">
      <alignment vertical="top" wrapText="1"/>
      <protection hidden="1"/>
    </xf>
    <xf numFmtId="0" fontId="7" fillId="0" borderId="116" xfId="0" applyFont="1" applyBorder="1" applyAlignment="1" applyProtection="1">
      <alignment vertical="top" wrapText="1"/>
      <protection hidden="1"/>
    </xf>
    <xf numFmtId="0" fontId="7" fillId="0" borderId="117" xfId="0" applyFont="1" applyBorder="1"/>
    <xf numFmtId="0" fontId="2" fillId="0" borderId="118" xfId="0" applyFont="1" applyBorder="1"/>
    <xf numFmtId="0" fontId="36" fillId="0" borderId="0" xfId="0" applyFont="1"/>
    <xf numFmtId="0" fontId="36" fillId="0" borderId="118" xfId="0" applyFont="1" applyBorder="1"/>
    <xf numFmtId="0" fontId="36" fillId="0" borderId="119" xfId="0" applyFont="1" applyBorder="1"/>
    <xf numFmtId="0" fontId="7" fillId="0" borderId="120" xfId="0" applyFont="1" applyBorder="1"/>
    <xf numFmtId="0" fontId="36" fillId="0" borderId="121" xfId="0" applyFont="1" applyBorder="1"/>
    <xf numFmtId="0" fontId="36" fillId="0" borderId="122" xfId="0" applyFont="1" applyBorder="1"/>
    <xf numFmtId="0" fontId="36" fillId="0" borderId="7" xfId="0" applyFont="1" applyBorder="1"/>
    <xf numFmtId="0" fontId="2" fillId="0" borderId="116" xfId="0" applyFont="1" applyBorder="1"/>
    <xf numFmtId="0" fontId="36" fillId="0" borderId="9" xfId="0" applyFont="1" applyBorder="1"/>
    <xf numFmtId="0" fontId="36" fillId="0" borderId="10" xfId="0" applyFont="1" applyBorder="1"/>
    <xf numFmtId="0" fontId="2" fillId="0" borderId="24" xfId="0" applyFont="1" applyBorder="1" applyAlignment="1">
      <alignment vertical="top"/>
    </xf>
    <xf numFmtId="0" fontId="2" fillId="0" borderId="29" xfId="0" applyFont="1" applyBorder="1" applyAlignment="1">
      <alignment vertical="top"/>
    </xf>
    <xf numFmtId="4" fontId="2" fillId="0" borderId="2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4" fontId="2" fillId="0" borderId="8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3" fontId="7" fillId="0" borderId="0" xfId="0" applyNumberFormat="1" applyFont="1"/>
    <xf numFmtId="0" fontId="37" fillId="0" borderId="1" xfId="0" applyFont="1" applyBorder="1" applyAlignment="1">
      <alignment vertical="top" wrapText="1"/>
    </xf>
    <xf numFmtId="0" fontId="37" fillId="0" borderId="1" xfId="0" applyFont="1" applyBorder="1"/>
    <xf numFmtId="0" fontId="37" fillId="0" borderId="3" xfId="0" applyFont="1" applyBorder="1"/>
    <xf numFmtId="3" fontId="37" fillId="0" borderId="1" xfId="0" applyNumberFormat="1" applyFont="1" applyBorder="1"/>
    <xf numFmtId="3" fontId="37" fillId="0" borderId="4" xfId="0" applyNumberFormat="1" applyFont="1" applyBorder="1"/>
    <xf numFmtId="0" fontId="37" fillId="0" borderId="3" xfId="0" applyFont="1" applyBorder="1" applyAlignment="1">
      <alignment vertical="top" wrapText="1"/>
    </xf>
    <xf numFmtId="0" fontId="7" fillId="0" borderId="115" xfId="0" applyFont="1" applyBorder="1"/>
    <xf numFmtId="0" fontId="4" fillId="2" borderId="27" xfId="0" applyFont="1" applyFill="1" applyBorder="1" applyProtection="1">
      <protection hidden="1"/>
    </xf>
    <xf numFmtId="10" fontId="4" fillId="0" borderId="0" xfId="0" applyNumberFormat="1" applyFont="1" applyAlignment="1" applyProtection="1">
      <alignment horizontal="left" vertical="center"/>
      <protection hidden="1"/>
    </xf>
    <xf numFmtId="0" fontId="5" fillId="0" borderId="22" xfId="0" applyFont="1" applyBorder="1" applyProtection="1">
      <protection hidden="1"/>
    </xf>
    <xf numFmtId="0" fontId="8" fillId="3" borderId="24" xfId="0" applyFont="1" applyFill="1" applyBorder="1" applyAlignment="1" applyProtection="1">
      <alignment horizontal="left" wrapText="1"/>
      <protection hidden="1"/>
    </xf>
    <xf numFmtId="164" fontId="4" fillId="0" borderId="54" xfId="0" applyNumberFormat="1" applyFont="1" applyBorder="1" applyAlignment="1" applyProtection="1">
      <alignment horizontal="center"/>
      <protection hidden="1"/>
    </xf>
    <xf numFmtId="0" fontId="8" fillId="3" borderId="59" xfId="0" applyFont="1" applyFill="1" applyBorder="1" applyAlignment="1" applyProtection="1">
      <alignment horizontal="left" wrapText="1"/>
      <protection hidden="1"/>
    </xf>
    <xf numFmtId="0" fontId="4" fillId="3" borderId="59" xfId="0" applyFont="1" applyFill="1" applyBorder="1" applyAlignment="1" applyProtection="1">
      <alignment horizontal="left" wrapText="1"/>
      <protection hidden="1"/>
    </xf>
    <xf numFmtId="0" fontId="5" fillId="0" borderId="59" xfId="0" applyFont="1" applyBorder="1"/>
    <xf numFmtId="0" fontId="5" fillId="0" borderId="61" xfId="0" applyFont="1" applyBorder="1"/>
    <xf numFmtId="164" fontId="4" fillId="0" borderId="54" xfId="0" applyNumberFormat="1" applyFont="1" applyBorder="1" applyAlignment="1" applyProtection="1">
      <alignment horizontal="center" vertical="center" wrapText="1"/>
      <protection hidden="1"/>
    </xf>
    <xf numFmtId="0" fontId="4" fillId="0" borderId="54" xfId="0" applyFont="1" applyBorder="1" applyAlignment="1" applyProtection="1">
      <alignment vertical="center"/>
      <protection hidden="1"/>
    </xf>
    <xf numFmtId="0" fontId="4" fillId="0" borderId="60" xfId="0" applyFont="1" applyBorder="1" applyAlignment="1" applyProtection="1">
      <alignment vertical="center" wrapText="1"/>
      <protection hidden="1"/>
    </xf>
    <xf numFmtId="164" fontId="4" fillId="0" borderId="22" xfId="0" applyNumberFormat="1" applyFont="1" applyBorder="1" applyAlignment="1" applyProtection="1">
      <alignment horizontal="center" vertical="center" wrapText="1"/>
      <protection hidden="1"/>
    </xf>
    <xf numFmtId="0" fontId="4" fillId="0" borderId="22" xfId="0" applyFont="1" applyBorder="1" applyAlignment="1" applyProtection="1">
      <alignment vertical="center"/>
      <protection hidden="1"/>
    </xf>
    <xf numFmtId="0" fontId="4" fillId="0" borderId="22" xfId="0" applyFont="1" applyBorder="1" applyAlignment="1" applyProtection="1">
      <alignment vertical="center" wrapText="1"/>
      <protection hidden="1"/>
    </xf>
    <xf numFmtId="164" fontId="4" fillId="0" borderId="0" xfId="0" applyNumberFormat="1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164" fontId="4" fillId="0" borderId="0" xfId="0" applyNumberFormat="1" applyFont="1" applyAlignment="1" applyProtection="1">
      <alignment horizontal="center" vertical="top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5" fillId="0" borderId="0" xfId="0" applyFont="1" applyAlignment="1">
      <alignment horizontal="center"/>
    </xf>
    <xf numFmtId="0" fontId="4" fillId="0" borderId="123" xfId="0" applyFont="1" applyBorder="1" applyProtection="1">
      <protection hidden="1"/>
    </xf>
    <xf numFmtId="0" fontId="5" fillId="0" borderId="123" xfId="0" applyFont="1" applyBorder="1" applyProtection="1">
      <protection hidden="1"/>
    </xf>
    <xf numFmtId="0" fontId="4" fillId="0" borderId="124" xfId="0" applyFont="1" applyBorder="1" applyAlignment="1" applyProtection="1">
      <alignment horizontal="center"/>
      <protection hidden="1"/>
    </xf>
    <xf numFmtId="164" fontId="4" fillId="0" borderId="124" xfId="0" applyNumberFormat="1" applyFont="1" applyBorder="1" applyAlignment="1" applyProtection="1">
      <alignment horizontal="center" wrapText="1"/>
      <protection hidden="1"/>
    </xf>
    <xf numFmtId="0" fontId="4" fillId="0" borderId="124" xfId="0" applyFont="1" applyBorder="1" applyProtection="1">
      <protection hidden="1"/>
    </xf>
    <xf numFmtId="0" fontId="4" fillId="0" borderId="123" xfId="0" applyFont="1" applyBorder="1" applyAlignment="1" applyProtection="1">
      <alignment wrapText="1"/>
      <protection hidden="1"/>
    </xf>
    <xf numFmtId="0" fontId="4" fillId="0" borderId="125" xfId="0" applyFont="1" applyBorder="1" applyAlignment="1" applyProtection="1">
      <alignment wrapText="1"/>
      <protection hidden="1"/>
    </xf>
    <xf numFmtId="9" fontId="4" fillId="0" borderId="0" xfId="0" applyNumberFormat="1" applyFont="1" applyProtection="1">
      <protection hidden="1"/>
    </xf>
    <xf numFmtId="0" fontId="4" fillId="2" borderId="0" xfId="0" applyFont="1" applyFill="1" applyProtection="1">
      <protection hidden="1"/>
    </xf>
    <xf numFmtId="10" fontId="4" fillId="0" borderId="27" xfId="0" applyNumberFormat="1" applyFont="1" applyBorder="1" applyAlignment="1" applyProtection="1">
      <alignment horizontal="left" vertical="center"/>
      <protection hidden="1"/>
    </xf>
    <xf numFmtId="0" fontId="38" fillId="0" borderId="21" xfId="0" applyFont="1" applyBorder="1" applyProtection="1">
      <protection hidden="1"/>
    </xf>
    <xf numFmtId="0" fontId="9" fillId="0" borderId="0" xfId="0" applyFont="1" applyAlignment="1" applyProtection="1">
      <alignment horizontal="left" vertical="top" wrapText="1"/>
      <protection hidden="1"/>
    </xf>
    <xf numFmtId="0" fontId="9" fillId="0" borderId="29" xfId="0" applyFont="1" applyBorder="1" applyProtection="1">
      <protection hidden="1"/>
    </xf>
    <xf numFmtId="10" fontId="9" fillId="0" borderId="30" xfId="0" applyNumberFormat="1" applyFont="1" applyBorder="1" applyAlignment="1" applyProtection="1">
      <alignment horizontal="left" vertical="top" wrapText="1"/>
      <protection hidden="1"/>
    </xf>
    <xf numFmtId="0" fontId="4" fillId="3" borderId="126" xfId="0" applyFont="1" applyFill="1" applyBorder="1" applyAlignment="1" applyProtection="1">
      <alignment horizontal="left" wrapText="1"/>
      <protection hidden="1"/>
    </xf>
    <xf numFmtId="4" fontId="2" fillId="0" borderId="5" xfId="0" applyNumberFormat="1" applyFont="1" applyBorder="1" applyProtection="1">
      <protection locked="0"/>
    </xf>
    <xf numFmtId="4" fontId="2" fillId="0" borderId="6" xfId="0" applyNumberFormat="1" applyFont="1" applyBorder="1" applyProtection="1">
      <protection locked="0"/>
    </xf>
    <xf numFmtId="3" fontId="2" fillId="2" borderId="5" xfId="0" applyNumberFormat="1" applyFont="1" applyFill="1" applyBorder="1"/>
    <xf numFmtId="3" fontId="2" fillId="2" borderId="6" xfId="0" applyNumberFormat="1" applyFont="1" applyFill="1" applyBorder="1"/>
    <xf numFmtId="3" fontId="2" fillId="2" borderId="127" xfId="0" applyNumberFormat="1" applyFont="1" applyFill="1" applyBorder="1"/>
    <xf numFmtId="10" fontId="2" fillId="2" borderId="97" xfId="1" applyNumberFormat="1" applyFont="1" applyFill="1" applyBorder="1" applyProtection="1">
      <protection locked="0"/>
    </xf>
    <xf numFmtId="10" fontId="2" fillId="2" borderId="0" xfId="1" applyNumberFormat="1" applyFont="1" applyFill="1" applyBorder="1" applyProtection="1">
      <protection locked="0"/>
    </xf>
    <xf numFmtId="10" fontId="2" fillId="2" borderId="20" xfId="1" applyNumberFormat="1" applyFont="1" applyFill="1" applyBorder="1" applyProtection="1">
      <protection locked="0"/>
    </xf>
    <xf numFmtId="10" fontId="2" fillId="2" borderId="9" xfId="1" applyNumberFormat="1" applyFont="1" applyFill="1" applyBorder="1" applyProtection="1">
      <protection locked="0"/>
    </xf>
    <xf numFmtId="4" fontId="5" fillId="0" borderId="2" xfId="0" applyNumberFormat="1" applyFont="1" applyBorder="1" applyProtection="1">
      <protection locked="0"/>
    </xf>
    <xf numFmtId="4" fontId="5" fillId="0" borderId="7" xfId="0" applyNumberFormat="1" applyFont="1" applyBorder="1" applyProtection="1">
      <protection locked="0"/>
    </xf>
    <xf numFmtId="4" fontId="5" fillId="0" borderId="0" xfId="0" applyNumberFormat="1" applyFont="1" applyProtection="1">
      <protection locked="0"/>
    </xf>
    <xf numFmtId="0" fontId="14" fillId="0" borderId="43" xfId="0" applyFont="1" applyBorder="1"/>
    <xf numFmtId="0" fontId="14" fillId="0" borderId="44" xfId="0" applyFont="1" applyBorder="1"/>
    <xf numFmtId="0" fontId="39" fillId="0" borderId="128" xfId="0" applyFont="1" applyBorder="1" applyAlignment="1">
      <alignment horizontal="center" vertical="center"/>
    </xf>
    <xf numFmtId="0" fontId="40" fillId="0" borderId="129" xfId="0" applyFont="1" applyBorder="1" applyAlignment="1">
      <alignment horizontal="center" vertical="center"/>
    </xf>
    <xf numFmtId="0" fontId="40" fillId="0" borderId="130" xfId="0" applyFont="1" applyBorder="1" applyAlignment="1">
      <alignment horizontal="center" vertical="center"/>
    </xf>
    <xf numFmtId="0" fontId="39" fillId="0" borderId="129" xfId="0" applyFont="1" applyBorder="1" applyAlignment="1">
      <alignment vertical="center" wrapText="1"/>
    </xf>
    <xf numFmtId="0" fontId="39" fillId="0" borderId="129" xfId="0" applyFont="1" applyBorder="1" applyAlignment="1">
      <alignment horizontal="center" vertical="center"/>
    </xf>
    <xf numFmtId="0" fontId="39" fillId="0" borderId="129" xfId="0" applyFont="1" applyBorder="1" applyAlignment="1">
      <alignment horizontal="center" vertical="center" wrapText="1"/>
    </xf>
    <xf numFmtId="0" fontId="40" fillId="0" borderId="128" xfId="0" applyFont="1" applyBorder="1" applyAlignment="1">
      <alignment vertical="center" wrapText="1"/>
    </xf>
    <xf numFmtId="4" fontId="40" fillId="0" borderId="129" xfId="0" applyNumberFormat="1" applyFont="1" applyBorder="1" applyAlignment="1">
      <alignment horizontal="center" vertical="center"/>
    </xf>
    <xf numFmtId="2" fontId="40" fillId="0" borderId="129" xfId="0" applyNumberFormat="1" applyFont="1" applyBorder="1" applyAlignment="1">
      <alignment horizontal="center" vertical="center"/>
    </xf>
    <xf numFmtId="2" fontId="40" fillId="0" borderId="130" xfId="0" applyNumberFormat="1" applyFont="1" applyBorder="1" applyAlignment="1">
      <alignment horizontal="center" vertical="center"/>
    </xf>
    <xf numFmtId="0" fontId="40" fillId="0" borderId="129" xfId="0" applyFont="1" applyBorder="1" applyAlignment="1">
      <alignment horizontal="center" vertical="center" wrapText="1"/>
    </xf>
    <xf numFmtId="0" fontId="40" fillId="0" borderId="129" xfId="0" applyFont="1" applyBorder="1" applyAlignment="1">
      <alignment vertical="center" wrapText="1"/>
    </xf>
    <xf numFmtId="0" fontId="42" fillId="0" borderId="128" xfId="0" applyFont="1" applyBorder="1" applyAlignment="1">
      <alignment vertical="center" wrapText="1"/>
    </xf>
    <xf numFmtId="4" fontId="42" fillId="0" borderId="129" xfId="0" applyNumberFormat="1" applyFont="1" applyBorder="1" applyAlignment="1">
      <alignment horizontal="center" vertical="center"/>
    </xf>
    <xf numFmtId="2" fontId="42" fillId="0" borderId="129" xfId="0" applyNumberFormat="1" applyFont="1" applyBorder="1" applyAlignment="1">
      <alignment horizontal="center" vertical="center"/>
    </xf>
    <xf numFmtId="0" fontId="42" fillId="0" borderId="129" xfId="0" applyFont="1" applyBorder="1" applyAlignment="1">
      <alignment vertical="center" wrapText="1"/>
    </xf>
    <xf numFmtId="0" fontId="42" fillId="0" borderId="129" xfId="0" applyFont="1" applyBorder="1" applyAlignment="1">
      <alignment horizontal="center" vertical="center"/>
    </xf>
    <xf numFmtId="0" fontId="32" fillId="3" borderId="47" xfId="0" applyFont="1" applyFill="1" applyBorder="1" applyAlignment="1" applyProtection="1">
      <alignment horizontal="left" wrapText="1"/>
      <protection hidden="1"/>
    </xf>
    <xf numFmtId="0" fontId="29" fillId="3" borderId="47" xfId="0" applyFont="1" applyFill="1" applyBorder="1" applyAlignment="1" applyProtection="1">
      <alignment horizontal="left" wrapText="1"/>
      <protection hidden="1"/>
    </xf>
    <xf numFmtId="0" fontId="30" fillId="3" borderId="42" xfId="0" applyFont="1" applyFill="1" applyBorder="1"/>
    <xf numFmtId="0" fontId="30" fillId="3" borderId="43" xfId="0" applyFont="1" applyFill="1" applyBorder="1" applyAlignment="1" applyProtection="1">
      <alignment horizontal="left" wrapText="1"/>
      <protection hidden="1"/>
    </xf>
    <xf numFmtId="0" fontId="30" fillId="3" borderId="44" xfId="0" applyFont="1" applyFill="1" applyBorder="1" applyAlignment="1" applyProtection="1">
      <alignment horizontal="left" wrapText="1"/>
      <protection hidden="1"/>
    </xf>
    <xf numFmtId="0" fontId="30" fillId="3" borderId="45" xfId="0" applyFont="1" applyFill="1" applyBorder="1" applyAlignment="1" applyProtection="1">
      <alignment horizontal="left" wrapText="1"/>
      <protection hidden="1"/>
    </xf>
    <xf numFmtId="0" fontId="29" fillId="3" borderId="49" xfId="0" applyFont="1" applyFill="1" applyBorder="1" applyAlignment="1" applyProtection="1">
      <alignment horizontal="left" wrapText="1"/>
      <protection hidden="1"/>
    </xf>
    <xf numFmtId="172" fontId="29" fillId="3" borderId="49" xfId="0" applyNumberFormat="1" applyFont="1" applyFill="1" applyBorder="1" applyAlignment="1">
      <alignment horizontal="center"/>
    </xf>
    <xf numFmtId="0" fontId="32" fillId="3" borderId="48" xfId="0" applyFont="1" applyFill="1" applyBorder="1" applyAlignment="1" applyProtection="1">
      <alignment vertical="top"/>
      <protection hidden="1"/>
    </xf>
    <xf numFmtId="165" fontId="14" fillId="3" borderId="131" xfId="0" applyNumberFormat="1" applyFont="1" applyFill="1" applyBorder="1" applyAlignment="1" applyProtection="1">
      <alignment horizontal="center"/>
      <protection hidden="1"/>
    </xf>
    <xf numFmtId="165" fontId="14" fillId="3" borderId="51" xfId="0" applyNumberFormat="1" applyFont="1" applyFill="1" applyBorder="1" applyAlignment="1" applyProtection="1">
      <alignment horizontal="center"/>
      <protection hidden="1"/>
    </xf>
    <xf numFmtId="165" fontId="14" fillId="3" borderId="132" xfId="0" applyNumberFormat="1" applyFont="1" applyFill="1" applyBorder="1" applyAlignment="1" applyProtection="1">
      <alignment horizontal="center"/>
      <protection hidden="1"/>
    </xf>
    <xf numFmtId="165" fontId="14" fillId="3" borderId="133" xfId="0" applyNumberFormat="1" applyFont="1" applyFill="1" applyBorder="1" applyAlignment="1" applyProtection="1">
      <alignment horizontal="center"/>
      <protection hidden="1"/>
    </xf>
    <xf numFmtId="165" fontId="14" fillId="3" borderId="134" xfId="0" applyNumberFormat="1" applyFont="1" applyFill="1" applyBorder="1" applyAlignment="1" applyProtection="1">
      <alignment horizontal="center"/>
      <protection hidden="1"/>
    </xf>
    <xf numFmtId="165" fontId="14" fillId="3" borderId="135" xfId="0" applyNumberFormat="1" applyFont="1" applyFill="1" applyBorder="1" applyAlignment="1" applyProtection="1">
      <alignment horizontal="center"/>
      <protection hidden="1"/>
    </xf>
    <xf numFmtId="165" fontId="14" fillId="3" borderId="136" xfId="0" applyNumberFormat="1" applyFont="1" applyFill="1" applyBorder="1" applyAlignment="1" applyProtection="1">
      <alignment horizontal="center"/>
      <protection hidden="1"/>
    </xf>
    <xf numFmtId="165" fontId="14" fillId="3" borderId="137" xfId="0" applyNumberFormat="1" applyFont="1" applyFill="1" applyBorder="1" applyAlignment="1" applyProtection="1">
      <alignment horizontal="center"/>
      <protection hidden="1"/>
    </xf>
    <xf numFmtId="165" fontId="14" fillId="3" borderId="138" xfId="0" applyNumberFormat="1" applyFont="1" applyFill="1" applyBorder="1" applyAlignment="1" applyProtection="1">
      <alignment horizontal="center"/>
      <protection hidden="1"/>
    </xf>
    <xf numFmtId="165" fontId="14" fillId="3" borderId="139" xfId="0" applyNumberFormat="1" applyFont="1" applyFill="1" applyBorder="1" applyAlignment="1" applyProtection="1">
      <alignment horizontal="center"/>
      <protection hidden="1"/>
    </xf>
    <xf numFmtId="0" fontId="14" fillId="0" borderId="37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3" fontId="15" fillId="0" borderId="38" xfId="0" applyNumberFormat="1" applyFont="1" applyBorder="1" applyAlignment="1" applyProtection="1">
      <alignment horizontal="center"/>
      <protection hidden="1"/>
    </xf>
    <xf numFmtId="3" fontId="15" fillId="0" borderId="44" xfId="0" applyNumberFormat="1" applyFont="1" applyBorder="1" applyAlignment="1" applyProtection="1">
      <alignment horizontal="center"/>
      <protection hidden="1"/>
    </xf>
    <xf numFmtId="0" fontId="15" fillId="0" borderId="49" xfId="0" applyFont="1" applyBorder="1" applyAlignment="1" applyProtection="1">
      <alignment horizontal="center"/>
      <protection hidden="1"/>
    </xf>
    <xf numFmtId="0" fontId="15" fillId="0" borderId="47" xfId="0" applyFont="1" applyBorder="1" applyAlignment="1" applyProtection="1">
      <alignment horizontal="center"/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3" fontId="14" fillId="0" borderId="37" xfId="0" applyNumberFormat="1" applyFont="1" applyBorder="1" applyAlignment="1" applyProtection="1">
      <alignment horizontal="center"/>
      <protection hidden="1"/>
    </xf>
    <xf numFmtId="0" fontId="14" fillId="0" borderId="37" xfId="0" applyFont="1" applyBorder="1" applyProtection="1">
      <protection hidden="1"/>
    </xf>
    <xf numFmtId="165" fontId="14" fillId="0" borderId="37" xfId="0" applyNumberFormat="1" applyFont="1" applyBorder="1" applyAlignment="1" applyProtection="1">
      <alignment horizontal="center"/>
      <protection hidden="1"/>
    </xf>
    <xf numFmtId="0" fontId="4" fillId="3" borderId="44" xfId="0" applyFont="1" applyFill="1" applyBorder="1" applyAlignment="1" applyProtection="1">
      <alignment horizontal="left" wrapText="1"/>
      <protection hidden="1"/>
    </xf>
    <xf numFmtId="3" fontId="0" fillId="0" borderId="0" xfId="0" applyNumberFormat="1"/>
    <xf numFmtId="0" fontId="4" fillId="3" borderId="59" xfId="0" applyFont="1" applyFill="1" applyBorder="1" applyAlignment="1" applyProtection="1">
      <alignment horizontal="left"/>
      <protection hidden="1"/>
    </xf>
    <xf numFmtId="3" fontId="15" fillId="0" borderId="48" xfId="0" applyNumberFormat="1" applyFont="1" applyBorder="1" applyAlignment="1" applyProtection="1">
      <alignment horizontal="center" vertical="top" wrapText="1"/>
      <protection hidden="1"/>
    </xf>
    <xf numFmtId="3" fontId="15" fillId="0" borderId="47" xfId="0" applyNumberFormat="1" applyFont="1" applyBorder="1" applyAlignment="1" applyProtection="1">
      <alignment horizontal="center" vertical="top" wrapText="1"/>
      <protection hidden="1"/>
    </xf>
    <xf numFmtId="0" fontId="14" fillId="0" borderId="38" xfId="0" applyFont="1" applyBorder="1" applyAlignment="1" applyProtection="1">
      <alignment horizontal="center"/>
      <protection hidden="1"/>
    </xf>
    <xf numFmtId="165" fontId="15" fillId="3" borderId="109" xfId="0" applyNumberFormat="1" applyFont="1" applyFill="1" applyBorder="1" applyAlignment="1" applyProtection="1">
      <alignment horizontal="center"/>
      <protection hidden="1"/>
    </xf>
    <xf numFmtId="0" fontId="7" fillId="0" borderId="140" xfId="0" applyFont="1" applyBorder="1"/>
    <xf numFmtId="3" fontId="7" fillId="0" borderId="141" xfId="0" applyNumberFormat="1" applyFont="1" applyBorder="1"/>
    <xf numFmtId="3" fontId="7" fillId="0" borderId="142" xfId="0" applyNumberFormat="1" applyFont="1" applyBorder="1"/>
    <xf numFmtId="3" fontId="7" fillId="0" borderId="143" xfId="0" applyNumberFormat="1" applyFont="1" applyBorder="1"/>
    <xf numFmtId="0" fontId="26" fillId="3" borderId="47" xfId="0" applyFont="1" applyFill="1" applyBorder="1" applyAlignment="1">
      <alignment wrapText="1"/>
    </xf>
    <xf numFmtId="0" fontId="26" fillId="3" borderId="45" xfId="0" applyFont="1" applyFill="1" applyBorder="1" applyAlignment="1">
      <alignment wrapText="1"/>
    </xf>
    <xf numFmtId="4" fontId="28" fillId="3" borderId="144" xfId="0" applyNumberFormat="1" applyFont="1" applyFill="1" applyBorder="1" applyAlignment="1">
      <alignment horizontal="center"/>
    </xf>
    <xf numFmtId="0" fontId="15" fillId="3" borderId="0" xfId="0" applyFont="1" applyFill="1" applyAlignment="1" applyProtection="1">
      <alignment horizontal="right" vertical="top"/>
      <protection hidden="1"/>
    </xf>
    <xf numFmtId="172" fontId="40" fillId="0" borderId="0" xfId="0" applyNumberFormat="1" applyFont="1" applyAlignment="1">
      <alignment horizontal="center" vertical="center"/>
    </xf>
    <xf numFmtId="0" fontId="14" fillId="3" borderId="105" xfId="0" applyFont="1" applyFill="1" applyBorder="1" applyAlignment="1" applyProtection="1">
      <alignment horizontal="center" wrapText="1"/>
      <protection hidden="1"/>
    </xf>
    <xf numFmtId="165" fontId="14" fillId="3" borderId="52" xfId="0" applyNumberFormat="1" applyFont="1" applyFill="1" applyBorder="1" applyAlignment="1" applyProtection="1">
      <alignment horizontal="center"/>
      <protection hidden="1"/>
    </xf>
    <xf numFmtId="165" fontId="15" fillId="3" borderId="136" xfId="0" applyNumberFormat="1" applyFont="1" applyFill="1" applyBorder="1" applyAlignment="1" applyProtection="1">
      <alignment horizontal="center"/>
      <protection hidden="1"/>
    </xf>
    <xf numFmtId="0" fontId="14" fillId="3" borderId="145" xfId="0" applyFont="1" applyFill="1" applyBorder="1" applyAlignment="1" applyProtection="1">
      <alignment horizontal="center" wrapText="1"/>
      <protection hidden="1"/>
    </xf>
    <xf numFmtId="165" fontId="14" fillId="3" borderId="106" xfId="0" applyNumberFormat="1" applyFont="1" applyFill="1" applyBorder="1" applyAlignment="1" applyProtection="1">
      <alignment horizontal="center" vertical="center"/>
      <protection hidden="1"/>
    </xf>
    <xf numFmtId="0" fontId="20" fillId="4" borderId="0" xfId="0" applyFont="1" applyFill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center"/>
      <protection hidden="1"/>
    </xf>
    <xf numFmtId="0" fontId="14" fillId="3" borderId="62" xfId="0" applyFont="1" applyFill="1" applyBorder="1" applyAlignment="1" applyProtection="1">
      <alignment horizontal="center"/>
      <protection hidden="1"/>
    </xf>
    <xf numFmtId="0" fontId="14" fillId="3" borderId="63" xfId="0" applyFont="1" applyFill="1" applyBorder="1" applyAlignment="1" applyProtection="1">
      <alignment horizontal="center"/>
      <protection hidden="1"/>
    </xf>
    <xf numFmtId="0" fontId="15" fillId="0" borderId="43" xfId="0" applyFont="1" applyBorder="1" applyAlignment="1" applyProtection="1">
      <alignment horizontal="left" wrapText="1"/>
      <protection hidden="1"/>
    </xf>
    <xf numFmtId="0" fontId="15" fillId="0" borderId="45" xfId="0" applyFont="1" applyBorder="1" applyAlignment="1" applyProtection="1">
      <alignment horizontal="left" wrapText="1"/>
      <protection hidden="1"/>
    </xf>
    <xf numFmtId="0" fontId="14" fillId="0" borderId="65" xfId="0" applyFont="1" applyBorder="1" applyAlignment="1" applyProtection="1">
      <alignment horizontal="center"/>
      <protection hidden="1"/>
    </xf>
    <xf numFmtId="0" fontId="14" fillId="0" borderId="66" xfId="0" applyFont="1" applyBorder="1" applyAlignment="1" applyProtection="1">
      <alignment horizontal="center"/>
      <protection hidden="1"/>
    </xf>
    <xf numFmtId="0" fontId="14" fillId="0" borderId="37" xfId="0" applyFont="1" applyBorder="1" applyAlignment="1" applyProtection="1">
      <alignment horizontal="center"/>
      <protection hidden="1"/>
    </xf>
    <xf numFmtId="0" fontId="14" fillId="0" borderId="46" xfId="0" applyFont="1" applyBorder="1" applyAlignment="1" applyProtection="1">
      <alignment horizontal="center"/>
      <protection hidden="1"/>
    </xf>
    <xf numFmtId="0" fontId="14" fillId="0" borderId="36" xfId="0" applyFont="1" applyBorder="1" applyAlignment="1" applyProtection="1">
      <alignment horizontal="center"/>
      <protection hidden="1"/>
    </xf>
    <xf numFmtId="0" fontId="14" fillId="0" borderId="38" xfId="0" applyFont="1" applyBorder="1" applyAlignment="1" applyProtection="1">
      <alignment horizontal="left" vertical="top" wrapText="1"/>
      <protection hidden="1"/>
    </xf>
    <xf numFmtId="0" fontId="14" fillId="0" borderId="39" xfId="0" applyFont="1" applyBorder="1" applyAlignment="1" applyProtection="1">
      <alignment horizontal="left" vertical="top" wrapText="1"/>
      <protection hidden="1"/>
    </xf>
    <xf numFmtId="0" fontId="14" fillId="0" borderId="36" xfId="0" applyFont="1" applyBorder="1" applyAlignment="1" applyProtection="1">
      <alignment horizontal="left"/>
      <protection hidden="1"/>
    </xf>
    <xf numFmtId="0" fontId="14" fillId="0" borderId="46" xfId="0" applyFont="1" applyBorder="1" applyAlignment="1" applyProtection="1">
      <alignment horizontal="left"/>
      <protection hidden="1"/>
    </xf>
    <xf numFmtId="0" fontId="14" fillId="0" borderId="38" xfId="0" applyFont="1" applyBorder="1" applyAlignment="1" applyProtection="1">
      <alignment horizontal="left"/>
      <protection hidden="1"/>
    </xf>
    <xf numFmtId="0" fontId="14" fillId="0" borderId="39" xfId="0" applyFont="1" applyBorder="1" applyAlignment="1" applyProtection="1">
      <alignment horizontal="left"/>
      <protection hidden="1"/>
    </xf>
    <xf numFmtId="0" fontId="14" fillId="0" borderId="38" xfId="0" applyFont="1" applyBorder="1" applyAlignment="1" applyProtection="1">
      <alignment horizontal="left" vertical="top"/>
      <protection hidden="1"/>
    </xf>
    <xf numFmtId="0" fontId="14" fillId="0" borderId="39" xfId="0" applyFont="1" applyBorder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center"/>
      <protection hidden="1"/>
    </xf>
    <xf numFmtId="0" fontId="15" fillId="0" borderId="36" xfId="0" applyFont="1" applyBorder="1" applyAlignment="1" applyProtection="1">
      <alignment horizontal="left" wrapText="1"/>
      <protection hidden="1"/>
    </xf>
    <xf numFmtId="0" fontId="15" fillId="0" borderId="38" xfId="0" applyFont="1" applyBorder="1" applyAlignment="1" applyProtection="1">
      <alignment horizontal="left" wrapText="1"/>
      <protection hidden="1"/>
    </xf>
    <xf numFmtId="0" fontId="14" fillId="0" borderId="36" xfId="0" applyFont="1" applyBorder="1" applyAlignment="1" applyProtection="1">
      <alignment horizontal="left" wrapText="1"/>
      <protection hidden="1"/>
    </xf>
    <xf numFmtId="0" fontId="14" fillId="0" borderId="38" xfId="0" applyFont="1" applyBorder="1" applyAlignment="1" applyProtection="1">
      <alignment horizontal="left" wrapText="1"/>
      <protection hidden="1"/>
    </xf>
    <xf numFmtId="0" fontId="14" fillId="2" borderId="37" xfId="0" applyFont="1" applyFill="1" applyBorder="1" applyAlignment="1" applyProtection="1">
      <alignment horizontal="center"/>
      <protection locked="0" hidden="1"/>
    </xf>
    <xf numFmtId="0" fontId="14" fillId="2" borderId="46" xfId="0" applyFont="1" applyFill="1" applyBorder="1" applyAlignment="1" applyProtection="1">
      <alignment horizontal="center"/>
      <protection locked="0" hidden="1"/>
    </xf>
    <xf numFmtId="0" fontId="14" fillId="2" borderId="36" xfId="0" applyFont="1" applyFill="1" applyBorder="1" applyAlignment="1" applyProtection="1">
      <alignment horizontal="center"/>
      <protection locked="0" hidden="1"/>
    </xf>
    <xf numFmtId="0" fontId="14" fillId="0" borderId="62" xfId="0" applyFont="1" applyBorder="1" applyAlignment="1" applyProtection="1">
      <alignment horizontal="center"/>
      <protection hidden="1"/>
    </xf>
    <xf numFmtId="0" fontId="14" fillId="0" borderId="63" xfId="0" applyFont="1" applyBorder="1" applyAlignment="1" applyProtection="1">
      <alignment horizontal="center"/>
      <protection hidden="1"/>
    </xf>
    <xf numFmtId="0" fontId="14" fillId="0" borderId="40" xfId="0" applyFont="1" applyBorder="1" applyAlignment="1" applyProtection="1">
      <alignment horizontal="left"/>
      <protection hidden="1"/>
    </xf>
    <xf numFmtId="0" fontId="14" fillId="0" borderId="42" xfId="0" applyFont="1" applyBorder="1" applyAlignment="1" applyProtection="1">
      <alignment horizontal="left"/>
      <protection hidden="1"/>
    </xf>
    <xf numFmtId="0" fontId="14" fillId="0" borderId="40" xfId="0" applyFont="1" applyBorder="1" applyAlignment="1" applyProtection="1">
      <alignment horizontal="left" vertical="top" wrapText="1"/>
      <protection hidden="1"/>
    </xf>
    <xf numFmtId="0" fontId="14" fillId="0" borderId="42" xfId="0" applyFont="1" applyBorder="1" applyAlignment="1" applyProtection="1">
      <alignment horizontal="left" vertical="top" wrapText="1"/>
      <protection hidden="1"/>
    </xf>
    <xf numFmtId="14" fontId="14" fillId="0" borderId="0" xfId="0" applyNumberFormat="1" applyFont="1" applyAlignment="1" applyProtection="1">
      <alignment horizontal="left"/>
      <protection hidden="1"/>
    </xf>
    <xf numFmtId="3" fontId="2" fillId="0" borderId="99" xfId="0" applyNumberFormat="1" applyFont="1" applyBorder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/>
    </xf>
    <xf numFmtId="0" fontId="26" fillId="3" borderId="78" xfId="0" applyFont="1" applyFill="1" applyBorder="1" applyAlignment="1">
      <alignment horizontal="center"/>
    </xf>
    <xf numFmtId="0" fontId="26" fillId="3" borderId="79" xfId="0" applyFont="1" applyFill="1" applyBorder="1" applyAlignment="1">
      <alignment horizontal="center"/>
    </xf>
    <xf numFmtId="0" fontId="26" fillId="3" borderId="37" xfId="0" applyFont="1" applyFill="1" applyBorder="1" applyAlignment="1">
      <alignment horizontal="center"/>
    </xf>
    <xf numFmtId="0" fontId="26" fillId="3" borderId="46" xfId="0" applyFont="1" applyFill="1" applyBorder="1" applyAlignment="1">
      <alignment horizontal="center"/>
    </xf>
    <xf numFmtId="0" fontId="26" fillId="3" borderId="36" xfId="0" applyFont="1" applyFill="1" applyBorder="1" applyAlignment="1">
      <alignment horizont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0724C6"/>
      <color rgb="FF0070C0"/>
      <color rgb="FF0024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Ontwikkeling Scope 1 en Scope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'Scope Jaar'!$A$50</c:f>
              <c:strCache>
                <c:ptCount val="1"/>
                <c:pt idx="0">
                  <c:v>Scope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'Scope Jaar'!$B$49:$E$49</c:f>
              <c:numCache>
                <c:formatCode>General</c:formatCode>
                <c:ptCount val="4"/>
                <c:pt idx="0">
                  <c:v>2021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'Scope Jaar'!$B$50:$E$50</c:f>
              <c:numCache>
                <c:formatCode>#,##0.000</c:formatCode>
                <c:ptCount val="4"/>
                <c:pt idx="0">
                  <c:v>1817.2772986000002</c:v>
                </c:pt>
                <c:pt idx="1">
                  <c:v>1824.1752980000001</c:v>
                </c:pt>
                <c:pt idx="2">
                  <c:v>1914.3265950299997</c:v>
                </c:pt>
                <c:pt idx="3">
                  <c:v>2050.5109420499998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0-7144-8CDE-334F94D1E6FF}"/>
            </c:ext>
          </c:extLst>
        </c:ser>
        <c:ser>
          <c:idx val="1"/>
          <c:order val="1"/>
          <c:tx>
            <c:strRef>
              <c:f>'Scope Jaar'!$A$51</c:f>
              <c:strCache>
                <c:ptCount val="1"/>
                <c:pt idx="0">
                  <c:v>Scope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'Scope Jaar'!$B$49:$E$49</c:f>
              <c:numCache>
                <c:formatCode>General</c:formatCode>
                <c:ptCount val="4"/>
                <c:pt idx="0">
                  <c:v>2021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'Scope Jaar'!$B$51:$E$51</c:f>
              <c:numCache>
                <c:formatCode>#,##0.000</c:formatCode>
                <c:ptCount val="4"/>
                <c:pt idx="0">
                  <c:v>21.013556582612441</c:v>
                </c:pt>
                <c:pt idx="1">
                  <c:v>0</c:v>
                </c:pt>
                <c:pt idx="2">
                  <c:v>1.1598504000000001</c:v>
                </c:pt>
                <c:pt idx="3">
                  <c:v>3.7543578800000001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0-7144-8CDE-334F94D1E6FF}"/>
            </c:ext>
          </c:extLst>
        </c:ser>
        <c:ser>
          <c:idx val="2"/>
          <c:order val="2"/>
          <c:tx>
            <c:strRef>
              <c:f>'Scope Jaar'!$A$52</c:f>
              <c:strCache>
                <c:ptCount val="1"/>
                <c:pt idx="0">
                  <c:v>Totaal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'Scope Jaar'!$B$49:$E$49</c:f>
              <c:numCache>
                <c:formatCode>General</c:formatCode>
                <c:ptCount val="4"/>
                <c:pt idx="0">
                  <c:v>2021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'Scope Jaar'!$B$52:$E$52</c:f>
              <c:numCache>
                <c:formatCode>#,##0.000</c:formatCode>
                <c:ptCount val="4"/>
                <c:pt idx="0">
                  <c:v>1838.2908551826126</c:v>
                </c:pt>
                <c:pt idx="1">
                  <c:v>1824.1752980000001</c:v>
                </c:pt>
                <c:pt idx="2">
                  <c:v>1915.4864454299998</c:v>
                </c:pt>
                <c:pt idx="3">
                  <c:v>2054.2652999299999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20-7144-8CDE-334F94D1E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6679312"/>
        <c:axId val="686678288"/>
      </c:lineChart>
      <c:catAx>
        <c:axId val="6866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86678288"/>
        <c:crosses val="autoZero"/>
        <c:auto val="1"/>
        <c:lblAlgn val="ctr"/>
        <c:lblOffset val="100"/>
        <c:noMultiLvlLbl val="0"/>
      </c:catAx>
      <c:valAx>
        <c:axId val="68667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8667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Inzichtelijk!$D$31</c:f>
              <c:strCache>
                <c:ptCount val="1"/>
                <c:pt idx="0">
                  <c:v>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29-464C-ABC7-5B7A70298D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29-464C-ABC7-5B7A70298D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29-464C-ABC7-5B7A70298D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129-464C-ABC7-5B7A70298DC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129-464C-ABC7-5B7A70298DC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129-464C-ABC7-5B7A70298DC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129-464C-ABC7-5B7A70298DC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129-464C-ABC7-5B7A70298DC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129-464C-ABC7-5B7A70298DC2}"/>
              </c:ext>
            </c:extLst>
          </c:dPt>
          <c:dLbls>
            <c:dLbl>
              <c:idx val="0"/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29-464C-ABC7-5B7A70298DC2}"/>
                </c:ext>
              </c:extLst>
            </c:dLbl>
            <c:dLbl>
              <c:idx val="1"/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29-464C-ABC7-5B7A70298DC2}"/>
                </c:ext>
              </c:extLst>
            </c:dLbl>
            <c:dLbl>
              <c:idx val="8"/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129-464C-ABC7-5B7A70298DC2}"/>
                </c:ext>
              </c:extLst>
            </c:dLbl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Inzichtelijk!$C$32:$C$40</c:f>
              <c:strCache>
                <c:ptCount val="9"/>
                <c:pt idx="0">
                  <c:v>Gasverbruik</c:v>
                </c:pt>
                <c:pt idx="1">
                  <c:v>Eigen materieel</c:v>
                </c:pt>
                <c:pt idx="2">
                  <c:v>Leaseauto's</c:v>
                </c:pt>
                <c:pt idx="3">
                  <c:v>Ad-Blue verbruik</c:v>
                </c:pt>
                <c:pt idx="4">
                  <c:v>Aspen verbruik</c:v>
                </c:pt>
                <c:pt idx="5">
                  <c:v>Lasgas verbruiken</c:v>
                </c:pt>
                <c:pt idx="6">
                  <c:v>GLC/Propaan</c:v>
                </c:pt>
                <c:pt idx="7">
                  <c:v>Biomassa</c:v>
                </c:pt>
                <c:pt idx="8">
                  <c:v>Elektriciteit</c:v>
                </c:pt>
              </c:strCache>
            </c:strRef>
          </c:cat>
          <c:val>
            <c:numRef>
              <c:f>Inzichtelijk!$D$32:$D$40</c:f>
              <c:numCache>
                <c:formatCode>#,##0.00</c:formatCode>
                <c:ptCount val="9"/>
                <c:pt idx="0">
                  <c:v>17.867982000000001</c:v>
                </c:pt>
                <c:pt idx="1">
                  <c:v>1991.4679959</c:v>
                </c:pt>
                <c:pt idx="2">
                  <c:v>33.955440150000001</c:v>
                </c:pt>
                <c:pt idx="3">
                  <c:v>7.2195239999999998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129-464C-ABC7-5B7A70298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'Controle tabellen'!$A$6</c:f>
              <c:strCache>
                <c:ptCount val="1"/>
                <c:pt idx="0">
                  <c:v>Eigen locatie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tabellen'!$C$4:$J$5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tabellen'!$C$6:$J$6</c:f>
              <c:numCache>
                <c:formatCode>#,##0.00</c:formatCode>
                <c:ptCount val="8"/>
                <c:pt idx="0">
                  <c:v>5309</c:v>
                </c:pt>
                <c:pt idx="1">
                  <c:v>6017</c:v>
                </c:pt>
                <c:pt idx="2">
                  <c:v>5777</c:v>
                </c:pt>
                <c:pt idx="3">
                  <c:v>4273</c:v>
                </c:pt>
                <c:pt idx="4">
                  <c:v>6026</c:v>
                </c:pt>
                <c:pt idx="5">
                  <c:v>5308</c:v>
                </c:pt>
                <c:pt idx="6">
                  <c:v>4998</c:v>
                </c:pt>
                <c:pt idx="7">
                  <c:v>3375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1-B440-87AA-277AFF7B1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449695"/>
        <c:axId val="662382431"/>
      </c:barChart>
      <c:catAx>
        <c:axId val="23644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62382431"/>
        <c:crosses val="autoZero"/>
        <c:auto val="1"/>
        <c:lblAlgn val="ctr"/>
        <c:lblOffset val="100"/>
        <c:noMultiLvlLbl val="0"/>
      </c:catAx>
      <c:valAx>
        <c:axId val="662382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3644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'Controle tabellen'!$A$25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tabellen'!$C$23:$J$24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tabellen'!$C$25:$J$25</c:f>
              <c:numCache>
                <c:formatCode>#,##0.00</c:formatCode>
                <c:ptCount val="8"/>
                <c:pt idx="0">
                  <c:v>49204.300000000017</c:v>
                </c:pt>
                <c:pt idx="1">
                  <c:v>40994.000000000029</c:v>
                </c:pt>
                <c:pt idx="2">
                  <c:v>51010.75</c:v>
                </c:pt>
                <c:pt idx="3">
                  <c:v>60800.6</c:v>
                </c:pt>
                <c:pt idx="4">
                  <c:v>72776.600000000006</c:v>
                </c:pt>
                <c:pt idx="5">
                  <c:v>81764.899999999994</c:v>
                </c:pt>
                <c:pt idx="6">
                  <c:v>50268.800000000003</c:v>
                </c:pt>
                <c:pt idx="7">
                  <c:v>40698.899999999994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0-0C4D-BFD6-64159775FF2D}"/>
            </c:ext>
          </c:extLst>
        </c:ser>
        <c:ser>
          <c:idx val="1"/>
          <c:order val="1"/>
          <c:tx>
            <c:strRef>
              <c:f>'Controle tabellen'!$A$26</c:f>
              <c:strCache>
                <c:ptCount val="1"/>
                <c:pt idx="0">
                  <c:v>Diesel haak/kabel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tabellen'!$C$23:$J$24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tabellen'!$C$26:$J$26</c:f>
              <c:numCache>
                <c:formatCode>#,##0.00</c:formatCode>
                <c:ptCount val="8"/>
                <c:pt idx="0">
                  <c:v>46387.45</c:v>
                </c:pt>
                <c:pt idx="1">
                  <c:v>46387.45</c:v>
                </c:pt>
                <c:pt idx="2">
                  <c:v>53292.35</c:v>
                </c:pt>
                <c:pt idx="3">
                  <c:v>53292.35</c:v>
                </c:pt>
                <c:pt idx="4">
                  <c:v>49776.2</c:v>
                </c:pt>
                <c:pt idx="5">
                  <c:v>49776.2</c:v>
                </c:pt>
                <c:pt idx="6">
                  <c:v>56469.5</c:v>
                </c:pt>
                <c:pt idx="7">
                  <c:v>56469.5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36-DA4E-B6B1-750E7B5A8E6C}"/>
            </c:ext>
          </c:extLst>
        </c:ser>
        <c:ser>
          <c:idx val="2"/>
          <c:order val="2"/>
          <c:tx>
            <c:strRef>
              <c:f>'Controle tabellen'!$A$27</c:f>
              <c:strCache>
                <c:ptCount val="1"/>
                <c:pt idx="0">
                  <c:v>Diesel portaal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tabellen'!$C$23:$J$24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tabellen'!$C$27:$J$27</c:f>
              <c:numCache>
                <c:formatCode>#,##0.00</c:formatCode>
                <c:ptCount val="8"/>
                <c:pt idx="0">
                  <c:v>100110.65</c:v>
                </c:pt>
                <c:pt idx="1">
                  <c:v>100110.65</c:v>
                </c:pt>
                <c:pt idx="2">
                  <c:v>91840.4</c:v>
                </c:pt>
                <c:pt idx="3">
                  <c:v>91840.4</c:v>
                </c:pt>
                <c:pt idx="4">
                  <c:v>98371.4</c:v>
                </c:pt>
                <c:pt idx="5">
                  <c:v>98371.4</c:v>
                </c:pt>
                <c:pt idx="6">
                  <c:v>107980.6</c:v>
                </c:pt>
                <c:pt idx="7">
                  <c:v>107980.6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36-DA4E-B6B1-750E7B5A8E6C}"/>
            </c:ext>
          </c:extLst>
        </c:ser>
        <c:ser>
          <c:idx val="3"/>
          <c:order val="3"/>
          <c:tx>
            <c:strRef>
              <c:f>'Controle tabellen'!$A$28</c:f>
              <c:strCache>
                <c:ptCount val="1"/>
                <c:pt idx="0">
                  <c:v>Diesel overig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tabellen'!$C$23:$J$24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tabellen'!$C$28:$J$28</c:f>
              <c:numCache>
                <c:formatCode>#,##0.00</c:formatCode>
                <c:ptCount val="8"/>
                <c:pt idx="0">
                  <c:v>86949.2</c:v>
                </c:pt>
                <c:pt idx="1">
                  <c:v>68160.600000000006</c:v>
                </c:pt>
                <c:pt idx="2">
                  <c:v>68565.649999999994</c:v>
                </c:pt>
                <c:pt idx="3">
                  <c:v>74742.649999999994</c:v>
                </c:pt>
                <c:pt idx="4">
                  <c:v>65585.8</c:v>
                </c:pt>
                <c:pt idx="5">
                  <c:v>52240.900000000009</c:v>
                </c:pt>
                <c:pt idx="6">
                  <c:v>95441.299999999988</c:v>
                </c:pt>
                <c:pt idx="7">
                  <c:v>97261.699999999983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36-DA4E-B6B1-750E7B5A8E6C}"/>
            </c:ext>
          </c:extLst>
        </c:ser>
        <c:ser>
          <c:idx val="4"/>
          <c:order val="4"/>
          <c:tx>
            <c:strRef>
              <c:f>'Controle tabellen'!$A$29</c:f>
              <c:strCache>
                <c:ptCount val="1"/>
                <c:pt idx="0">
                  <c:v>Benzine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tabellen'!$C$23:$J$24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tabellen'!$C$29:$J$29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336-DA4E-B6B1-750E7B5A8E6C}"/>
            </c:ext>
          </c:extLst>
        </c:ser>
        <c:ser>
          <c:idx val="5"/>
          <c:order val="5"/>
          <c:tx>
            <c:strRef>
              <c:f>'Controle tabellen'!$A$30</c:f>
              <c:strCache>
                <c:ptCount val="1"/>
                <c:pt idx="0">
                  <c:v>LPG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tabellen'!$C$23:$J$24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tabellen'!$C$30:$J$30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336-DA4E-B6B1-750E7B5A8E6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6449695"/>
        <c:axId val="662382431"/>
      </c:barChart>
      <c:catAx>
        <c:axId val="23644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62382431"/>
        <c:crosses val="autoZero"/>
        <c:auto val="1"/>
        <c:lblAlgn val="ctr"/>
        <c:lblOffset val="100"/>
        <c:noMultiLvlLbl val="0"/>
      </c:catAx>
      <c:valAx>
        <c:axId val="662382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3644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'Controle tabellen'!$A$49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tabellen'!$C$47:$J$48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tabellen'!$C$49:$J$49</c:f>
              <c:numCache>
                <c:formatCode>#,##0.00</c:formatCode>
                <c:ptCount val="8"/>
                <c:pt idx="0">
                  <c:v>3240</c:v>
                </c:pt>
                <c:pt idx="1">
                  <c:v>3527</c:v>
                </c:pt>
                <c:pt idx="2">
                  <c:v>3485.7</c:v>
                </c:pt>
                <c:pt idx="3">
                  <c:v>2986.4</c:v>
                </c:pt>
                <c:pt idx="4">
                  <c:v>1699</c:v>
                </c:pt>
                <c:pt idx="5">
                  <c:v>3041.65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8-9E47-8CC1-A558374BE8BC}"/>
            </c:ext>
          </c:extLst>
        </c:ser>
        <c:ser>
          <c:idx val="1"/>
          <c:order val="1"/>
          <c:tx>
            <c:strRef>
              <c:f>'Controle tabellen'!$A$50</c:f>
              <c:strCache>
                <c:ptCount val="1"/>
                <c:pt idx="0">
                  <c:v>Benzine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tabellen'!$C$47:$J$48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tabellen'!$C$50:$J$50</c:f>
              <c:numCache>
                <c:formatCode>#,##0.00</c:formatCode>
                <c:ptCount val="8"/>
                <c:pt idx="0">
                  <c:v>2026</c:v>
                </c:pt>
                <c:pt idx="1">
                  <c:v>2673</c:v>
                </c:pt>
                <c:pt idx="2">
                  <c:v>0</c:v>
                </c:pt>
                <c:pt idx="3">
                  <c:v>0</c:v>
                </c:pt>
                <c:pt idx="4">
                  <c:v>2733.33</c:v>
                </c:pt>
                <c:pt idx="5">
                  <c:v>3152.3</c:v>
                </c:pt>
                <c:pt idx="6">
                  <c:v>5640.04</c:v>
                </c:pt>
                <c:pt idx="7">
                  <c:v>6499.91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28-9E47-8CC1-A558374BE8B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6449695"/>
        <c:axId val="662382431"/>
      </c:barChart>
      <c:catAx>
        <c:axId val="23644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62382431"/>
        <c:crosses val="autoZero"/>
        <c:auto val="1"/>
        <c:lblAlgn val="ctr"/>
        <c:lblOffset val="100"/>
        <c:noMultiLvlLbl val="0"/>
      </c:catAx>
      <c:valAx>
        <c:axId val="662382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3644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'Controle tabellen'!$A$70</c:f>
              <c:strCache>
                <c:ptCount val="1"/>
                <c:pt idx="0">
                  <c:v>Ad Blue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tabellen'!$C$68:$J$69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tabellen'!$C$70:$J$70</c:f>
              <c:numCache>
                <c:formatCode>#,##0.00</c:formatCode>
                <c:ptCount val="8"/>
                <c:pt idx="0">
                  <c:v>9120</c:v>
                </c:pt>
                <c:pt idx="1">
                  <c:v>9474.2999999999993</c:v>
                </c:pt>
                <c:pt idx="2">
                  <c:v>11996.7</c:v>
                </c:pt>
                <c:pt idx="3">
                  <c:v>12750</c:v>
                </c:pt>
                <c:pt idx="4">
                  <c:v>12988</c:v>
                </c:pt>
                <c:pt idx="5">
                  <c:v>12138.5</c:v>
                </c:pt>
                <c:pt idx="6">
                  <c:v>14287</c:v>
                </c:pt>
                <c:pt idx="7">
                  <c:v>13480.4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F-3548-80E2-BA9060ACB828}"/>
            </c:ext>
          </c:extLst>
        </c:ser>
        <c:ser>
          <c:idx val="1"/>
          <c:order val="1"/>
          <c:tx>
            <c:strRef>
              <c:f>'Controle tabellen'!$A$71</c:f>
              <c:strCache>
                <c:ptCount val="1"/>
                <c:pt idx="0">
                  <c:v>Aspen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tabellen'!$C$68:$J$69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tabellen'!$C$71:$J$71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F-3548-80E2-BA9060ACB82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6449695"/>
        <c:axId val="662382431"/>
      </c:barChart>
      <c:catAx>
        <c:axId val="23644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62382431"/>
        <c:crosses val="autoZero"/>
        <c:auto val="1"/>
        <c:lblAlgn val="ctr"/>
        <c:lblOffset val="100"/>
        <c:noMultiLvlLbl val="0"/>
      </c:catAx>
      <c:valAx>
        <c:axId val="662382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3644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'Controle tabellen'!$A$124</c:f>
              <c:strCache>
                <c:ptCount val="1"/>
                <c:pt idx="0">
                  <c:v>Grijze stroom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tabellen'!$C$122:$J$123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tabellen'!$C$124:$J$124</c:f>
              <c:numCache>
                <c:formatCode>#,##0.00</c:formatCode>
                <c:ptCount val="8"/>
                <c:pt idx="0">
                  <c:v>37794.166515489997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D-2C41-9494-5B34AB6E26AA}"/>
            </c:ext>
          </c:extLst>
        </c:ser>
        <c:ser>
          <c:idx val="3"/>
          <c:order val="1"/>
          <c:tx>
            <c:strRef>
              <c:f>'Controle tabellen'!$A$125</c:f>
              <c:strCache>
                <c:ptCount val="1"/>
                <c:pt idx="0">
                  <c:v>NL Windenergie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'Controle tabellen'!$C$125:$J$125</c:f>
              <c:numCache>
                <c:formatCode>#,##0.00</c:formatCode>
                <c:ptCount val="8"/>
                <c:pt idx="0">
                  <c:v>7558.8030980000003</c:v>
                </c:pt>
                <c:pt idx="1">
                  <c:v>41536</c:v>
                </c:pt>
                <c:pt idx="2">
                  <c:v>60040</c:v>
                </c:pt>
                <c:pt idx="3">
                  <c:v>42049</c:v>
                </c:pt>
                <c:pt idx="4">
                  <c:v>53736</c:v>
                </c:pt>
                <c:pt idx="5">
                  <c:v>50313</c:v>
                </c:pt>
                <c:pt idx="6">
                  <c:v>49387</c:v>
                </c:pt>
                <c:pt idx="7">
                  <c:v>50858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5F-064C-99D1-87999974B9EF}"/>
            </c:ext>
          </c:extLst>
        </c:ser>
        <c:ser>
          <c:idx val="1"/>
          <c:order val="2"/>
          <c:tx>
            <c:strRef>
              <c:f>'Controle tabellen'!$A$126</c:f>
              <c:strCache>
                <c:ptCount val="1"/>
                <c:pt idx="0">
                  <c:v>Leaseauto elektrisch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tabellen'!$C$122:$J$123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tabellen'!$C$126:$J$126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596.07000000000005</c:v>
                </c:pt>
                <c:pt idx="5">
                  <c:v>1567.83</c:v>
                </c:pt>
                <c:pt idx="6">
                  <c:v>1664.37</c:v>
                </c:pt>
                <c:pt idx="7">
                  <c:v>5889.67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9D-2C41-9494-5B34AB6E26A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6449695"/>
        <c:axId val="662382431"/>
      </c:barChart>
      <c:catAx>
        <c:axId val="23644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62382431"/>
        <c:crosses val="autoZero"/>
        <c:auto val="1"/>
        <c:lblAlgn val="ctr"/>
        <c:lblOffset val="100"/>
        <c:noMultiLvlLbl val="0"/>
      </c:catAx>
      <c:valAx>
        <c:axId val="662382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3644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'Controle tabellen'!$A$145</c:f>
              <c:strCache>
                <c:ptCount val="1"/>
                <c:pt idx="0">
                  <c:v>Onbekend met reiskosten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tabellen'!$C$143:$J$144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tabellen'!$C$145:$J$145</c:f>
              <c:numCache>
                <c:formatCode>#,##0.00</c:formatCode>
                <c:ptCount val="8"/>
                <c:pt idx="0">
                  <c:v>93262</c:v>
                </c:pt>
                <c:pt idx="1">
                  <c:v>96852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4-3347-8865-930080B25E04}"/>
            </c:ext>
          </c:extLst>
        </c:ser>
        <c:ser>
          <c:idx val="1"/>
          <c:order val="1"/>
          <c:tx>
            <c:strRef>
              <c:f>'Controle tabellen'!$A$146</c:f>
              <c:strCache>
                <c:ptCount val="1"/>
                <c:pt idx="0">
                  <c:v>Onbekend zonder reiskosten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tabellen'!$C$143:$J$144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tabellen'!$C$146:$J$146</c:f>
              <c:numCache>
                <c:formatCode>#,##0.00</c:formatCode>
                <c:ptCount val="8"/>
                <c:pt idx="0">
                  <c:v>14648</c:v>
                </c:pt>
                <c:pt idx="1">
                  <c:v>11160</c:v>
                </c:pt>
                <c:pt idx="2">
                  <c:v>16972.5</c:v>
                </c:pt>
                <c:pt idx="3">
                  <c:v>20227.5</c:v>
                </c:pt>
                <c:pt idx="4">
                  <c:v>24180</c:v>
                </c:pt>
                <c:pt idx="5">
                  <c:v>26660</c:v>
                </c:pt>
                <c:pt idx="6">
                  <c:v>30225</c:v>
                </c:pt>
                <c:pt idx="7">
                  <c:v>36735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4-3347-8865-930080B25E04}"/>
            </c:ext>
          </c:extLst>
        </c:ser>
        <c:ser>
          <c:idx val="2"/>
          <c:order val="2"/>
          <c:tx>
            <c:strRef>
              <c:f>'Controle tabellen'!$A$147</c:f>
              <c:strCache>
                <c:ptCount val="1"/>
                <c:pt idx="0">
                  <c:v>Benzine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tabellen'!$C$143:$J$144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tabellen'!$C$147:$J$147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54686</c:v>
                </c:pt>
                <c:pt idx="3">
                  <c:v>62306</c:v>
                </c:pt>
                <c:pt idx="4">
                  <c:v>58500</c:v>
                </c:pt>
                <c:pt idx="5">
                  <c:v>67328.13</c:v>
                </c:pt>
                <c:pt idx="6">
                  <c:v>71842.5</c:v>
                </c:pt>
                <c:pt idx="7">
                  <c:v>79321.25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07-0D42-8B87-0FC469AA5004}"/>
            </c:ext>
          </c:extLst>
        </c:ser>
        <c:ser>
          <c:idx val="3"/>
          <c:order val="3"/>
          <c:tx>
            <c:strRef>
              <c:f>'Controle tabellen'!$A$148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tabellen'!$C$143:$J$144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tabellen'!$C$148:$J$148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54686</c:v>
                </c:pt>
                <c:pt idx="3">
                  <c:v>62306</c:v>
                </c:pt>
                <c:pt idx="4">
                  <c:v>58500</c:v>
                </c:pt>
                <c:pt idx="5">
                  <c:v>67328.13</c:v>
                </c:pt>
                <c:pt idx="6">
                  <c:v>71842.5</c:v>
                </c:pt>
                <c:pt idx="7">
                  <c:v>79321.25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07-0D42-8B87-0FC469AA5004}"/>
            </c:ext>
          </c:extLst>
        </c:ser>
        <c:ser>
          <c:idx val="4"/>
          <c:order val="4"/>
          <c:tx>
            <c:strRef>
              <c:f>'Controle tabellen'!$A$149</c:f>
              <c:strCache>
                <c:ptCount val="1"/>
                <c:pt idx="0">
                  <c:v>LPG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'Controle tabellen'!$C$143:$J$144</c:f>
              <c:multiLvlStrCache>
                <c:ptCount val="8"/>
                <c:lvl>
                  <c:pt idx="0">
                    <c:v>1e helft</c:v>
                  </c:pt>
                  <c:pt idx="1">
                    <c:v>2e helft</c:v>
                  </c:pt>
                  <c:pt idx="2">
                    <c:v>1e helft</c:v>
                  </c:pt>
                  <c:pt idx="3">
                    <c:v>2e helft</c:v>
                  </c:pt>
                  <c:pt idx="4">
                    <c:v>1e helft</c:v>
                  </c:pt>
                  <c:pt idx="5">
                    <c:v>2e helft</c:v>
                  </c:pt>
                  <c:pt idx="6">
                    <c:v>1e helft</c:v>
                  </c:pt>
                  <c:pt idx="7">
                    <c:v>2e helft</c:v>
                  </c:pt>
                </c:lvl>
                <c:lvl>
                  <c:pt idx="0">
                    <c:v>2021</c:v>
                  </c:pt>
                  <c:pt idx="2">
                    <c:v>2023</c:v>
                  </c:pt>
                  <c:pt idx="4">
                    <c:v>2024</c:v>
                  </c:pt>
                  <c:pt idx="6">
                    <c:v>2025</c:v>
                  </c:pt>
                </c:lvl>
              </c:multiLvlStrCache>
            </c:multiLvlStrRef>
          </c:cat>
          <c:val>
            <c:numRef>
              <c:f>'Controle tabellen'!$C$149:$J$149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07-0D42-8B87-0FC469AA500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6449695"/>
        <c:axId val="662382431"/>
      </c:barChart>
      <c:catAx>
        <c:axId val="23644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62382431"/>
        <c:crosses val="autoZero"/>
        <c:auto val="1"/>
        <c:lblAlgn val="ctr"/>
        <c:lblOffset val="100"/>
        <c:noMultiLvlLbl val="0"/>
      </c:catAx>
      <c:valAx>
        <c:axId val="662382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3644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tiff"/><Relationship Id="rId1" Type="http://schemas.openxmlformats.org/officeDocument/2006/relationships/image" Target="../media/image1.png"/><Relationship Id="rId4" Type="http://schemas.openxmlformats.org/officeDocument/2006/relationships/image" Target="../media/image3.tif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50800</xdr:rowOff>
    </xdr:from>
    <xdr:to>
      <xdr:col>4</xdr:col>
      <xdr:colOff>905933</xdr:colOff>
      <xdr:row>66</xdr:row>
      <xdr:rowOff>21667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8542D754-F704-0A44-B750-E16438586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1</xdr:row>
      <xdr:rowOff>25400</xdr:rowOff>
    </xdr:from>
    <xdr:to>
      <xdr:col>2</xdr:col>
      <xdr:colOff>798286</xdr:colOff>
      <xdr:row>5</xdr:row>
      <xdr:rowOff>28458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EC3CFE8-1A9B-E542-8FD2-6B73A0012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" y="228600"/>
          <a:ext cx="823686" cy="8158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749300</xdr:colOff>
      <xdr:row>6</xdr:row>
      <xdr:rowOff>63500</xdr:rowOff>
    </xdr:from>
    <xdr:to>
      <xdr:col>3</xdr:col>
      <xdr:colOff>723900</xdr:colOff>
      <xdr:row>15</xdr:row>
      <xdr:rowOff>110392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E3AE534-5109-A744-9A48-69785CB6B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4800" y="1358900"/>
          <a:ext cx="1625600" cy="187569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152400</xdr:rowOff>
    </xdr:from>
    <xdr:to>
      <xdr:col>7</xdr:col>
      <xdr:colOff>279400</xdr:colOff>
      <xdr:row>52</xdr:row>
      <xdr:rowOff>165100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FB51C4DA-0350-BB41-A45B-7A071748A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12700</xdr:colOff>
      <xdr:row>16</xdr:row>
      <xdr:rowOff>139700</xdr:rowOff>
    </xdr:from>
    <xdr:to>
      <xdr:col>3</xdr:col>
      <xdr:colOff>800100</xdr:colOff>
      <xdr:row>26</xdr:row>
      <xdr:rowOff>174938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72BE5192-CE52-6E41-97A8-2DAB0136F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63700" y="3467100"/>
          <a:ext cx="1612900" cy="2067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1530350</xdr:colOff>
      <xdr:row>8</xdr:row>
      <xdr:rowOff>127000</xdr:rowOff>
    </xdr:from>
    <xdr:to>
      <xdr:col>9</xdr:col>
      <xdr:colOff>698500</xdr:colOff>
      <xdr:row>19</xdr:row>
      <xdr:rowOff>38100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18750562-F9DC-5277-CE5E-0D643DFD3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1530350</xdr:colOff>
      <xdr:row>32</xdr:row>
      <xdr:rowOff>127000</xdr:rowOff>
    </xdr:from>
    <xdr:to>
      <xdr:col>9</xdr:col>
      <xdr:colOff>698500</xdr:colOff>
      <xdr:row>43</xdr:row>
      <xdr:rowOff>38100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AE09E2C3-970F-9143-A0B0-C1870E90F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1530350</xdr:colOff>
      <xdr:row>53</xdr:row>
      <xdr:rowOff>127000</xdr:rowOff>
    </xdr:from>
    <xdr:to>
      <xdr:col>9</xdr:col>
      <xdr:colOff>698500</xdr:colOff>
      <xdr:row>64</xdr:row>
      <xdr:rowOff>38100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E8A7841C-F374-DB41-A517-E84B08484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1530350</xdr:colOff>
      <xdr:row>73</xdr:row>
      <xdr:rowOff>127000</xdr:rowOff>
    </xdr:from>
    <xdr:to>
      <xdr:col>9</xdr:col>
      <xdr:colOff>698500</xdr:colOff>
      <xdr:row>84</xdr:row>
      <xdr:rowOff>38100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99C7807B-0347-B545-B0B6-BCDEC9F04B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1530350</xdr:colOff>
      <xdr:row>128</xdr:row>
      <xdr:rowOff>127000</xdr:rowOff>
    </xdr:from>
    <xdr:to>
      <xdr:col>9</xdr:col>
      <xdr:colOff>698500</xdr:colOff>
      <xdr:row>139</xdr:row>
      <xdr:rowOff>38100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FC7C9CA7-C89B-1249-B045-09440215D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1530350</xdr:colOff>
      <xdr:row>151</xdr:row>
      <xdr:rowOff>127000</xdr:rowOff>
    </xdr:from>
    <xdr:to>
      <xdr:col>9</xdr:col>
      <xdr:colOff>698500</xdr:colOff>
      <xdr:row>162</xdr:row>
      <xdr:rowOff>38100</xdr:rowOff>
    </xdr:to>
    <xdr:graphicFrame macro="">
      <xdr:nvGraphicFramePr>
        <xdr:cNvPr id="7" name="Grafiek 6">
          <a:extLst>
            <a:ext uri="{FF2B5EF4-FFF2-40B4-BE49-F238E27FC236}">
              <a16:creationId xmlns:a16="http://schemas.microsoft.com/office/drawing/2014/main" id="{A1AB550A-E6CA-2941-BCF4-66C12F7307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3CDC5-5C52-D847-AEC4-98320E15E510}">
  <dimension ref="A1:L39"/>
  <sheetViews>
    <sheetView showGridLines="0" tabSelected="1" zoomScale="150" zoomScaleNormal="150" workbookViewId="0">
      <selection activeCell="J13" sqref="J13"/>
    </sheetView>
  </sheetViews>
  <sheetFormatPr baseColWidth="10" defaultRowHeight="16" x14ac:dyDescent="0.2"/>
  <cols>
    <col min="1" max="1" width="26.5" customWidth="1"/>
    <col min="2" max="5" width="11.1640625" customWidth="1"/>
    <col min="7" max="7" width="5.5" customWidth="1"/>
    <col min="8" max="8" width="5.1640625" customWidth="1"/>
    <col min="9" max="9" width="0" style="542" hidden="1" customWidth="1"/>
  </cols>
  <sheetData>
    <row r="1" spans="1:12" x14ac:dyDescent="0.2">
      <c r="A1" s="256"/>
      <c r="B1" s="257"/>
      <c r="C1" s="257"/>
      <c r="D1" s="257"/>
      <c r="E1" s="257"/>
      <c r="F1" s="258"/>
      <c r="G1" s="259"/>
      <c r="H1" s="259"/>
    </row>
    <row r="2" spans="1:12" x14ac:dyDescent="0.2">
      <c r="A2" s="722" t="s">
        <v>117</v>
      </c>
      <c r="B2" s="722"/>
      <c r="C2" s="722"/>
      <c r="D2" s="722"/>
      <c r="E2" s="261" t="s">
        <v>33</v>
      </c>
      <c r="F2" s="262" t="str">
        <f>Absoluut!K1</f>
        <v>3.1</v>
      </c>
      <c r="G2" s="259"/>
      <c r="H2" s="259"/>
    </row>
    <row r="3" spans="1:12" x14ac:dyDescent="0.2">
      <c r="A3" s="260"/>
      <c r="B3" s="260"/>
      <c r="C3" s="260"/>
      <c r="D3" s="260"/>
      <c r="E3" s="261" t="s">
        <v>32</v>
      </c>
      <c r="F3" s="264">
        <f>Absoluut!K2</f>
        <v>46070</v>
      </c>
      <c r="G3" s="259"/>
      <c r="H3" s="259"/>
    </row>
    <row r="4" spans="1:12" ht="17" thickBot="1" x14ac:dyDescent="0.25">
      <c r="B4" s="257"/>
      <c r="C4" s="257"/>
      <c r="D4" s="264"/>
      <c r="E4" s="264"/>
      <c r="F4" s="264"/>
      <c r="G4" s="264"/>
      <c r="H4" s="259"/>
    </row>
    <row r="5" spans="1:12" x14ac:dyDescent="0.2">
      <c r="A5" s="263" t="s">
        <v>0</v>
      </c>
      <c r="B5" s="265" t="s">
        <v>218</v>
      </c>
      <c r="C5" s="257"/>
      <c r="D5" s="257"/>
      <c r="E5" s="261"/>
      <c r="F5" s="266"/>
      <c r="G5" s="259"/>
      <c r="H5" s="259"/>
    </row>
    <row r="6" spans="1:12" ht="17" thickBot="1" x14ac:dyDescent="0.25">
      <c r="A6" s="267"/>
      <c r="B6" s="268">
        <f>Absoluut!C3</f>
        <v>2021</v>
      </c>
      <c r="C6" s="269">
        <f>Absoluut!E3</f>
        <v>2023</v>
      </c>
      <c r="D6" s="270">
        <f>Absoluut!G3</f>
        <v>2024</v>
      </c>
      <c r="E6" s="270">
        <f>Absoluut!I3</f>
        <v>2025</v>
      </c>
      <c r="F6" s="271" t="s">
        <v>118</v>
      </c>
      <c r="G6" s="259"/>
      <c r="H6" s="259"/>
    </row>
    <row r="7" spans="1:12" x14ac:dyDescent="0.2">
      <c r="A7" s="546" t="s">
        <v>1</v>
      </c>
      <c r="B7" s="272">
        <f>IF(I7="",0,(HLOOKUP(CONCATENATE($B$6,-1),alles!$D$1:$AA$208,(MATCH(I7,alles!$C$1:$C$208,0)),0))+(HLOOKUP(CONCATENATE($B$6,-2),alles!$D$1:$AA$208,(MATCH(I7,alles!$C$1:$C$208,0)),0)))</f>
        <v>11326</v>
      </c>
      <c r="C7" s="273">
        <f>IF(I7="",0,(HLOOKUP(CONCATENATE($C$6,-1),alles!$D$1:$AA$208,(MATCH(I7,alles!$C$1:$C$208,0)),0))+(HLOOKUP(CONCATENATE($C$6,-2),alles!$D$1:$AA$208,(MATCH(I7,alles!$C$1:$C$208,0)),0)))</f>
        <v>10050</v>
      </c>
      <c r="D7" s="274">
        <f>IF(I7="",0,(HLOOKUP(CONCATENATE($D$6,-1),alles!$D$1:$AA$208,(MATCH(I7,alles!$C$1:$C$208,0)),0))+(HLOOKUP(CONCATENATE($D$6,-2),alles!$D$1:$AA$208,(MATCH(I7,alles!$C$1:$C$208,0)),0)))</f>
        <v>11334</v>
      </c>
      <c r="E7" s="273">
        <f>IF(I7="",0,(HLOOKUP(CONCATENATE($E$6,-1),alles!$D$1:$AA$208,(MATCH(I7,alles!$C$1:$C$208,0)),0))+(HLOOKUP(CONCATENATE($E$6,-2),alles!$D$1:$AA$208,(MATCH(I7,alles!$C$1:$C$208,0)),0)))</f>
        <v>8373</v>
      </c>
      <c r="F7" s="275" t="s">
        <v>119</v>
      </c>
      <c r="G7" s="259"/>
      <c r="H7" s="259"/>
      <c r="I7" s="542" t="s">
        <v>291</v>
      </c>
    </row>
    <row r="8" spans="1:12" ht="27" x14ac:dyDescent="0.2">
      <c r="A8" s="547" t="s">
        <v>421</v>
      </c>
      <c r="B8" s="272">
        <f>IF(I8="",0,(HLOOKUP(CONCATENATE($B$6,-1),alles!$D$1:$AA$208,(MATCH(I8,alles!$C$1:$C$208,0)),0))+(HLOOKUP(CONCATENATE($B$6,-2),alles!$D$1:$AA$208,(MATCH(I8,alles!$C$1:$C$208,0)),0)))</f>
        <v>538304.30000000005</v>
      </c>
      <c r="C8" s="543">
        <f>IF(I8="",0,(HLOOKUP(CONCATENATE($C$6,-1),alles!$D$1:$AA$208,(MATCH(I8,alles!$C$1:$C$208,0)),0))+(HLOOKUP(CONCATENATE($C$6,-2),alles!$D$1:$AA$208,(MATCH(I8,alles!$C$1:$C$208,0)),0)))</f>
        <v>545385.15</v>
      </c>
      <c r="D8" s="272">
        <f>IF(I8="",0,(HLOOKUP(CONCATENATE($D$6,-1),alles!$D$1:$AA$208,(MATCH(I8,alles!$C$1:$C$208,0)),0))+(HLOOKUP(CONCATENATE($D$6,-2),alles!$D$1:$AA$208,(MATCH(I8,alles!$C$1:$C$208,0)),0)))</f>
        <v>568663.39999999991</v>
      </c>
      <c r="E8" s="545">
        <f>IF(I8="",0,(HLOOKUP(CONCATENATE($E$6,-1),alles!$D$1:$AA$208,(MATCH(I8,alles!$C$1:$C$208,0)),0))+(HLOOKUP(CONCATENATE($E$6,-2),alles!$D$1:$AA$208,(MATCH(I8,alles!$C$1:$C$208,0)),0)))</f>
        <v>612570.89999999991</v>
      </c>
      <c r="F8" s="276" t="s">
        <v>21</v>
      </c>
      <c r="G8" s="259"/>
      <c r="H8" s="259"/>
      <c r="I8" s="542" t="s">
        <v>412</v>
      </c>
      <c r="K8" s="702"/>
      <c r="L8" s="702"/>
    </row>
    <row r="9" spans="1:12" x14ac:dyDescent="0.2">
      <c r="A9" s="548" t="s">
        <v>10</v>
      </c>
      <c r="B9" s="272">
        <f>IF(I9="",0,(HLOOKUP(CONCATENATE($B$6,-1),alles!$D$1:$AA$208,(MATCH(I9,alles!$C$1:$C$208,0)),0))+(HLOOKUP(CONCATENATE($B$6,-2),alles!$D$1:$AA$208,(MATCH(I9,alles!$C$1:$C$208,0)),0)))</f>
        <v>11466</v>
      </c>
      <c r="C9" s="543">
        <f>IF(I9="",0,(HLOOKUP(CONCATENATE($C$6,-1),alles!$D$1:$AA$208,(MATCH(I9,alles!$C$1:$C$208,0)),0))+(HLOOKUP(CONCATENATE($C$6,-2),alles!$D$1:$AA$208,(MATCH(I9,alles!$C$1:$C$208,0)),0)))</f>
        <v>6472.1</v>
      </c>
      <c r="D9" s="272">
        <f>IF(I9="",0,(HLOOKUP(CONCATENATE($D$6,-1),alles!$D$1:$AA$208,(MATCH(I9,alles!$C$1:$C$208,0)),0))+(HLOOKUP(CONCATENATE($D$6,-2),alles!$D$1:$AA$208,(MATCH(I9,alles!$C$1:$C$208,0)),0)))</f>
        <v>10626.28</v>
      </c>
      <c r="E9" s="545">
        <f>IF(I9="",0,(HLOOKUP(CONCATENATE($E$6,-1),alles!$D$1:$AA$208,(MATCH(I9,alles!$C$1:$C$208,0)),0))+(HLOOKUP(CONCATENATE($E$6,-2),alles!$D$1:$AA$208,(MATCH(I9,alles!$C$1:$C$208,0)),0)))</f>
        <v>12139.95</v>
      </c>
      <c r="F9" s="276" t="s">
        <v>21</v>
      </c>
      <c r="G9" s="259"/>
      <c r="H9" s="259"/>
      <c r="I9" s="542" t="s">
        <v>294</v>
      </c>
    </row>
    <row r="10" spans="1:12" x14ac:dyDescent="0.2">
      <c r="A10" s="548" t="s">
        <v>121</v>
      </c>
      <c r="B10" s="272">
        <f>IF(I10="",0,(HLOOKUP(CONCATENATE($B$6,-1),alles!$D$1:$AA$208,(MATCH(I10,alles!$C$1:$C$208,0)),0))+(HLOOKUP(CONCATENATE($B$6,-2),alles!$D$1:$AA$208,(MATCH(I10,alles!$C$1:$C$208,0)),0)))</f>
        <v>18594.3</v>
      </c>
      <c r="C10" s="543">
        <f>IF(I10="",0,(HLOOKUP(CONCATENATE($C$6,-1),alles!$D$1:$AA$208,(MATCH(I10,alles!$C$1:$C$208,0)),0))+(HLOOKUP(CONCATENATE($C$6,-2),alles!$D$1:$AA$208,(MATCH(I10,alles!$C$1:$C$208,0)),0)))</f>
        <v>24746.7</v>
      </c>
      <c r="D10" s="272">
        <f>IF(I10="",0,(HLOOKUP(CONCATENATE($D$6,-1),alles!$D$1:$AA$208,(MATCH(I10,alles!$C$1:$C$208,0)),0))+(HLOOKUP(CONCATENATE($D$6,-2),alles!$D$1:$AA$208,(MATCH(I10,alles!$C$1:$C$208,0)),0)))</f>
        <v>25126.5</v>
      </c>
      <c r="E10" s="545">
        <f>IF(I10="",0,(HLOOKUP(CONCATENATE($E$6,-1),alles!$D$1:$AA$208,(MATCH(I10,alles!$C$1:$C$208,0)),0))+(HLOOKUP(CONCATENATE($E$6,-2),alles!$D$1:$AA$208,(MATCH(I10,alles!$C$1:$C$208,0)),0)))</f>
        <v>27767.4</v>
      </c>
      <c r="F10" s="276" t="s">
        <v>21</v>
      </c>
      <c r="G10" s="259"/>
      <c r="H10" s="259"/>
      <c r="I10" s="542" t="s">
        <v>269</v>
      </c>
    </row>
    <row r="11" spans="1:12" x14ac:dyDescent="0.2">
      <c r="A11" s="548" t="s">
        <v>11</v>
      </c>
      <c r="B11" s="272">
        <f>IF(I11="",0,(HLOOKUP(CONCATENATE($B$6,-1),alles!$D$1:$AA$208,(MATCH(I11,alles!$C$1:$C$208,0)),0))+(HLOOKUP(CONCATENATE($B$6,-2),alles!$D$1:$AA$208,(MATCH(I11,alles!$C$1:$C$208,0)),0)))</f>
        <v>0</v>
      </c>
      <c r="C11" s="543">
        <f>IF(I11="",0,(HLOOKUP(CONCATENATE($C$6,-1),alles!$D$1:$AA$208,(MATCH(I11,alles!$C$1:$C$208,0)),0))+(HLOOKUP(CONCATENATE($C$6,-2),alles!$D$1:$AA$208,(MATCH(I11,alles!$C$1:$C$208,0)),0)))</f>
        <v>0</v>
      </c>
      <c r="D11" s="272">
        <f>IF(I11="",0,(HLOOKUP(CONCATENATE($D$6,-1),alles!$D$1:$AA$208,(MATCH(I11,alles!$C$1:$C$208,0)),0))+(HLOOKUP(CONCATENATE($D$6,-2),alles!$D$1:$AA$208,(MATCH(I11,alles!$C$1:$C$208,0)),0)))</f>
        <v>0</v>
      </c>
      <c r="E11" s="545">
        <f>IF(I11="",0,(HLOOKUP(CONCATENATE($E$6,-1),alles!$D$1:$AA$208,(MATCH(I11,alles!$C$1:$C$208,0)),0))+(HLOOKUP(CONCATENATE($E$6,-2),alles!$D$1:$AA$208,(MATCH(I11,alles!$C$1:$C$208,0)),0)))</f>
        <v>0</v>
      </c>
      <c r="F11" s="276" t="s">
        <v>21</v>
      </c>
      <c r="G11" s="259"/>
      <c r="H11" s="259"/>
      <c r="I11" s="542" t="s">
        <v>270</v>
      </c>
    </row>
    <row r="12" spans="1:12" x14ac:dyDescent="0.2">
      <c r="A12" s="548" t="s">
        <v>2</v>
      </c>
      <c r="B12" s="272">
        <f>IF(I12="",0,(HLOOKUP(CONCATENATE($B$6,-1),alles!$D$1:$AA$208,(MATCH(I12,alles!$C$1:$C$208,0)),0))+(HLOOKUP(CONCATENATE($B$6,-2),alles!$D$1:$AA$208,(MATCH(I12,alles!$C$1:$C$208,0)),0)))</f>
        <v>0</v>
      </c>
      <c r="C12" s="543">
        <f>IF(I12="",0,(HLOOKUP(CONCATENATE($C$6,-1),alles!$D$1:$AA$208,(MATCH(I12,alles!$C$1:$C$208,0)),0))+(HLOOKUP(CONCATENATE($C$6,-2),alles!$D$1:$AA$208,(MATCH(I12,alles!$C$1:$C$208,0)),0)))</f>
        <v>0</v>
      </c>
      <c r="D12" s="272">
        <f>IF(I12="",0,(HLOOKUP(CONCATENATE($D$6,-1),alles!$D$1:$AA$208,(MATCH(I12,alles!$C$1:$C$208,0)),0))+(HLOOKUP(CONCATENATE($D$6,-2),alles!$D$1:$AA$208,(MATCH(I12,alles!$C$1:$C$208,0)),0)))</f>
        <v>0</v>
      </c>
      <c r="E12" s="545">
        <f>IF(I12="",0,(HLOOKUP(CONCATENATE($E$6,-1),alles!$D$1:$AA$208,(MATCH(I12,alles!$C$1:$C$208,0)),0))+(HLOOKUP(CONCATENATE($E$6,-2),alles!$D$1:$AA$208,(MATCH(I12,alles!$C$1:$C$208,0)),0)))</f>
        <v>0</v>
      </c>
      <c r="F12" s="276" t="s">
        <v>21</v>
      </c>
      <c r="G12" s="259"/>
      <c r="H12" s="259"/>
      <c r="I12" s="542" t="s">
        <v>295</v>
      </c>
    </row>
    <row r="13" spans="1:12" x14ac:dyDescent="0.2">
      <c r="A13" s="548" t="s">
        <v>123</v>
      </c>
      <c r="B13" s="272">
        <f>IF(I13="",0,(HLOOKUP(CONCATENATE($B$6,-1),alles!$D$1:$AA$208,(MATCH(I13,alles!$C$1:$C$208,0)),0))+(HLOOKUP(CONCATENATE($B$6,-2),alles!$D$1:$AA$208,(MATCH(I13,alles!$C$1:$C$208,0)),0)))</f>
        <v>0</v>
      </c>
      <c r="C13" s="543">
        <f>IF(I13="",0,(HLOOKUP(CONCATENATE($C$6,-1),alles!$D$1:$AA$208,(MATCH(I13,alles!$C$1:$C$208,0)),0))+(HLOOKUP(CONCATENATE($C$6,-2),alles!$D$1:$AA$208,(MATCH(I13,alles!$C$1:$C$208,0)),0)))</f>
        <v>0</v>
      </c>
      <c r="D13" s="272">
        <f>IF(I13="",0,(HLOOKUP(CONCATENATE($D$6,-1),alles!$D$1:$AA$208,(MATCH(I13,alles!$C$1:$C$208,0)),0))+(HLOOKUP(CONCATENATE($D$6,-2),alles!$D$1:$AA$208,(MATCH(I13,alles!$C$1:$C$208,0)),0)))</f>
        <v>0</v>
      </c>
      <c r="E13" s="545">
        <f>IF(I13="",0,(HLOOKUP(CONCATENATE($E$6,-1),alles!$D$1:$AA$208,(MATCH(I13,alles!$C$1:$C$208,0)),0))+(HLOOKUP(CONCATENATE($E$6,-2),alles!$D$1:$AA$208,(MATCH(I13,alles!$C$1:$C$208,0)),0)))</f>
        <v>0</v>
      </c>
      <c r="F13" s="276" t="s">
        <v>21</v>
      </c>
      <c r="G13" s="259"/>
      <c r="H13" s="259"/>
      <c r="I13" s="542" t="s">
        <v>301</v>
      </c>
    </row>
    <row r="14" spans="1:12" x14ac:dyDescent="0.2">
      <c r="A14" s="549" t="s">
        <v>12</v>
      </c>
      <c r="B14" s="277">
        <f>IF(I14="",0,(HLOOKUP(CONCATENATE($B$6,-1),alles!$D$1:$AA$208,(MATCH(I14,alles!$C$1:$C$208,0)),0))+(HLOOKUP(CONCATENATE($B$6,-2),alles!$D$1:$AA$208,(MATCH(I14,alles!$C$1:$C$208,0)),0)))</f>
        <v>0</v>
      </c>
      <c r="C14" s="278">
        <f>IF(I14="",0,(HLOOKUP(CONCATENATE($C$6,-1),alles!$D$1:$AA$208,(MATCH(I14,alles!$C$1:$C$208,0)),0))+(HLOOKUP(CONCATENATE($C$6,-2),alles!$D$1:$AA$208,(MATCH(I14,alles!$C$1:$C$208,0)),0)))</f>
        <v>0</v>
      </c>
      <c r="D14" s="277">
        <f>IF(I14="",0,(HLOOKUP(CONCATENATE($D$6,-1),alles!$D$1:$AA$208,(MATCH(I14,alles!$C$1:$C$208,0)),0))+(HLOOKUP(CONCATENATE($D$6,-2),alles!$D$1:$AA$208,(MATCH(I14,alles!$C$1:$C$208,0)),0)))</f>
        <v>0</v>
      </c>
      <c r="E14" s="278">
        <f>IF(I14="",0,(HLOOKUP(CONCATENATE($E$6,-1),alles!$D$1:$AA$208,(MATCH(I14,alles!$C$1:$C$208,0)),0))+(HLOOKUP(CONCATENATE($E$6,-2),alles!$D$1:$AA$208,(MATCH(I14,alles!$C$1:$C$208,0)),0)))</f>
        <v>0</v>
      </c>
      <c r="F14" s="279" t="s">
        <v>23</v>
      </c>
      <c r="G14" s="259"/>
      <c r="H14" s="259"/>
      <c r="I14" s="542" t="s">
        <v>302</v>
      </c>
    </row>
    <row r="15" spans="1:12" x14ac:dyDescent="0.2">
      <c r="A15" s="280"/>
      <c r="B15" s="281"/>
      <c r="C15" s="281"/>
      <c r="D15" s="281"/>
      <c r="E15" s="281"/>
      <c r="F15" s="282"/>
      <c r="G15" s="259"/>
      <c r="H15" s="259"/>
    </row>
    <row r="16" spans="1:12" x14ac:dyDescent="0.2">
      <c r="A16" s="283" t="s">
        <v>4</v>
      </c>
      <c r="B16" s="281"/>
      <c r="C16" s="281"/>
      <c r="D16" s="281"/>
      <c r="E16" s="281"/>
      <c r="F16" s="282"/>
      <c r="G16" s="259"/>
      <c r="H16" s="259"/>
    </row>
    <row r="17" spans="1:9" x14ac:dyDescent="0.2">
      <c r="A17" s="284"/>
      <c r="B17" s="270">
        <f>B6</f>
        <v>2021</v>
      </c>
      <c r="C17" s="270">
        <f t="shared" ref="C17:E17" si="0">C6</f>
        <v>2023</v>
      </c>
      <c r="D17" s="270">
        <f t="shared" si="0"/>
        <v>2024</v>
      </c>
      <c r="E17" s="270">
        <f t="shared" si="0"/>
        <v>2025</v>
      </c>
      <c r="F17" s="271" t="s">
        <v>118</v>
      </c>
      <c r="G17" s="259"/>
      <c r="H17" s="259"/>
    </row>
    <row r="18" spans="1:9" x14ac:dyDescent="0.2">
      <c r="A18" s="550" t="s">
        <v>34</v>
      </c>
      <c r="B18" s="274">
        <f>IF(I18="",0,(HLOOKUP(CONCATENATE($B$6,-1),alles!$D$1:$AA$208,(MATCH(I18,alles!$C$1:$C$208,0)),0))+(HLOOKUP(CONCATENATE($B$6,-2),alles!$D$1:$AA$208,(MATCH(I18,alles!$C$1:$C$208,0)),0)))</f>
        <v>86888.96961349</v>
      </c>
      <c r="C18" s="273">
        <f>IF(I18="",0,(HLOOKUP(CONCATENATE($C$6,-1),alles!$D$1:$AA$208,(MATCH(I18,alles!$C$1:$C$208,0)),0))+(HLOOKUP(CONCATENATE($C$6,-2),alles!$D$1:$AA$208,(MATCH(I18,alles!$C$1:$C$208,0)),0)))</f>
        <v>102089</v>
      </c>
      <c r="D18" s="274">
        <f>IF(I18="",0,(HLOOKUP(CONCATENATE($D$6,-1),alles!$D$1:$AA$208,(MATCH(I18,alles!$C$1:$C$208,0)),0))+(HLOOKUP(CONCATENATE($D$6,-2),alles!$D$1:$AA$208,(MATCH(I18,alles!$C$1:$C$208,0)),0)))</f>
        <v>104049</v>
      </c>
      <c r="E18" s="544">
        <f>IF(I18="",0,(HLOOKUP(CONCATENATE($E$6,-1),alles!$D$1:$AA$208,(MATCH(I18,alles!$C$1:$C$208,0)),0))+(HLOOKUP(CONCATENATE($E$6,-2),alles!$D$1:$AA$208,(MATCH(I18,alles!$C$1:$C$208,0)),0)))</f>
        <v>100245</v>
      </c>
      <c r="F18" s="275" t="s">
        <v>23</v>
      </c>
      <c r="G18" s="259"/>
      <c r="H18" s="259"/>
      <c r="I18" s="542" t="s">
        <v>298</v>
      </c>
    </row>
    <row r="19" spans="1:9" x14ac:dyDescent="0.2">
      <c r="A19" s="551" t="s">
        <v>438</v>
      </c>
      <c r="B19" s="272">
        <f>IF(I19="",0,(HLOOKUP(CONCATENATE($B$6,-1),alles!$D$1:$AA$208,(MATCH(I19,alles!$C$1:$C$208,0)),0))+(HLOOKUP(CONCATENATE($B$6,-2),alles!$D$1:$AA$208,(MATCH(I19,alles!$C$1:$C$208,0)),0)))</f>
        <v>0</v>
      </c>
      <c r="C19" s="543">
        <f>IF(I19="",0,(HLOOKUP(CONCATENATE($C$6,-1),alles!$D$1:$AA$208,(MATCH(I19,alles!$C$1:$C$208,0)),0))+(HLOOKUP(CONCATENATE($C$6,-2),alles!$D$1:$AA$208,(MATCH(I19,alles!$C$1:$C$208,0)),0)))</f>
        <v>0</v>
      </c>
      <c r="D19" s="272">
        <f>IF(I19="",0,(HLOOKUP(CONCATENATE($D$6,-1),alles!$D$1:$AA$208,(MATCH(I19,alles!$C$1:$C$208,0)),0))+(HLOOKUP(CONCATENATE($D$6,-2),alles!$D$1:$AA$208,(MATCH(I19,alles!$C$1:$C$208,0)),0)))</f>
        <v>2163.9</v>
      </c>
      <c r="E19" s="543">
        <f>IF(I19="",0,(HLOOKUP(CONCATENATE($E$6,-1),alles!$D$1:$AA$208,(MATCH(I19,alles!$C$1:$C$208,0)),0))+(HLOOKUP(CONCATENATE($E$6,-2),alles!$D$1:$AA$208,(MATCH(I19,alles!$C$1:$C$208,0)),0)))</f>
        <v>7554.04</v>
      </c>
      <c r="F19" s="279" t="s">
        <v>23</v>
      </c>
      <c r="G19" s="259"/>
      <c r="H19" s="259"/>
      <c r="I19" s="542" t="s">
        <v>418</v>
      </c>
    </row>
    <row r="20" spans="1:9" x14ac:dyDescent="0.2">
      <c r="A20" s="286" t="s">
        <v>7</v>
      </c>
      <c r="B20" s="285">
        <f>B19+B18</f>
        <v>86888.96961349</v>
      </c>
      <c r="C20" s="285">
        <f t="shared" ref="C20:E20" si="1">C19+C18</f>
        <v>102089</v>
      </c>
      <c r="D20" s="285">
        <f t="shared" si="1"/>
        <v>106212.9</v>
      </c>
      <c r="E20" s="285">
        <f t="shared" si="1"/>
        <v>107799.03999999999</v>
      </c>
      <c r="F20" s="271" t="s">
        <v>23</v>
      </c>
      <c r="G20" s="259"/>
      <c r="H20" s="259"/>
    </row>
    <row r="21" spans="1:9" x14ac:dyDescent="0.2">
      <c r="A21" s="287"/>
      <c r="B21" s="281"/>
      <c r="C21" s="281"/>
      <c r="D21" s="281"/>
      <c r="E21" s="281"/>
      <c r="F21" s="282"/>
      <c r="G21" s="259"/>
      <c r="H21" s="259"/>
    </row>
    <row r="22" spans="1:9" x14ac:dyDescent="0.2">
      <c r="A22" s="283" t="s">
        <v>454</v>
      </c>
      <c r="B22" s="281"/>
      <c r="C22" s="281"/>
      <c r="D22" s="281"/>
      <c r="E22" s="281"/>
      <c r="F22" s="282"/>
      <c r="G22" s="259"/>
      <c r="H22" s="259"/>
    </row>
    <row r="23" spans="1:9" x14ac:dyDescent="0.2">
      <c r="A23" s="514" t="s">
        <v>440</v>
      </c>
      <c r="B23" s="270">
        <f>B6</f>
        <v>2021</v>
      </c>
      <c r="C23" s="270">
        <f>C6</f>
        <v>2023</v>
      </c>
      <c r="D23" s="270">
        <f>D6</f>
        <v>2024</v>
      </c>
      <c r="E23" s="270">
        <f>E6</f>
        <v>2025</v>
      </c>
      <c r="F23" s="271" t="s">
        <v>118</v>
      </c>
      <c r="G23" s="259"/>
      <c r="H23" s="259"/>
    </row>
    <row r="24" spans="1:9" ht="25" customHeight="1" x14ac:dyDescent="0.2">
      <c r="A24" s="552" t="s">
        <v>442</v>
      </c>
      <c r="B24" s="272">
        <f>IF(I24="",0,(HLOOKUP(CONCATENATE($B$6,-1),alles!$D$1:$AA$208,(MATCH(I24,alles!$C$1:$C$208,0)),0))+(HLOOKUP(CONCATENATE($B$6,-2),alles!$D$1:$AA$208,(MATCH(I24,alles!$C$1:$C$208,0)),0)))</f>
        <v>0</v>
      </c>
      <c r="C24" s="272">
        <f>IF(I24="",0,(HLOOKUP(CONCATENATE($C$6,-1),alles!$D$1:$AA$208,(MATCH(I24,alles!$C$1:$C$208,0)),0))+(HLOOKUP(CONCATENATE($C$6,-2),alles!$D$1:$AA$208,(MATCH(I24,alles!$C$1:$C$208,0)),0)))</f>
        <v>0</v>
      </c>
      <c r="D24" s="272">
        <f>IF(I24="",0,(HLOOKUP(CONCATENATE($D$6,-1),alles!$D$1:$AA$208,(MATCH(I24,alles!$C$1:$C$208,0)),0))+(HLOOKUP(CONCATENATE($D$6,-2),alles!$D$1:$AA$208,(MATCH(I24,alles!$C$1:$C$208,0)),0)))</f>
        <v>0</v>
      </c>
      <c r="E24" s="272">
        <f>IF(I24="",0,(HLOOKUP(CONCATENATE($E$6,-1),alles!$D$1:$AA$208,(MATCH(I24,alles!$C$1:$C$208,0)),0))+(HLOOKUP(CONCATENATE($E$6,-2),alles!$D$1:$AA$208,(MATCH(I24,alles!$C$1:$C$208,0)),0)))</f>
        <v>0</v>
      </c>
      <c r="F24" s="275"/>
      <c r="G24" s="259"/>
      <c r="H24" s="259"/>
      <c r="I24" s="542" t="s">
        <v>468</v>
      </c>
    </row>
    <row r="25" spans="1:9" x14ac:dyDescent="0.2">
      <c r="A25" s="552" t="s">
        <v>443</v>
      </c>
      <c r="B25" s="272">
        <f>IF(I25="",0,(HLOOKUP(CONCATENATE($B$6,-1),alles!$D$1:$AA$208,(MATCH(I25,alles!$C$1:$C$208,0)),0))+(HLOOKUP(CONCATENATE($B$6,-2),alles!$D$1:$AA$208,(MATCH(I25,alles!$C$1:$C$208,0)),0)))</f>
        <v>0</v>
      </c>
      <c r="C25" s="272">
        <f>IF(I25="",0,(HLOOKUP(CONCATENATE($C$6,-1),alles!$D$1:$AA$208,(MATCH(I25,alles!$C$1:$C$208,0)),0))+(HLOOKUP(CONCATENATE($C$6,-2),alles!$D$1:$AA$208,(MATCH(I25,alles!$C$1:$C$208,0)),0)))</f>
        <v>0</v>
      </c>
      <c r="D25" s="272">
        <f>IF(I25="",0,(HLOOKUP(CONCATENATE($D$6,-1),alles!$D$1:$AA$208,(MATCH(I25,alles!$C$1:$C$208,0)),0))+(HLOOKUP(CONCATENATE($D$6,-2),alles!$D$1:$AA$208,(MATCH(I25,alles!$C$1:$C$208,0)),0)))</f>
        <v>0</v>
      </c>
      <c r="E25" s="272">
        <f>IF(I25="",0,(HLOOKUP(CONCATENATE($E$6,-1),alles!$D$1:$AA$208,(MATCH(I25,alles!$C$1:$C$208,0)),0))+(HLOOKUP(CONCATENATE($E$6,-2),alles!$D$1:$AA$208,(MATCH(I25,alles!$C$1:$C$208,0)),0)))</f>
        <v>0</v>
      </c>
      <c r="F25" s="276"/>
      <c r="G25" s="259"/>
      <c r="H25" s="259"/>
      <c r="I25" s="542" t="s">
        <v>477</v>
      </c>
    </row>
    <row r="26" spans="1:9" ht="27" customHeight="1" x14ac:dyDescent="0.2">
      <c r="A26" s="552" t="s">
        <v>444</v>
      </c>
      <c r="B26" s="272">
        <f>IF(I26="",0,(HLOOKUP(CONCATENATE($B$6,-1),alles!$D$1:$AA$208,(MATCH(I26,alles!$C$1:$C$208,0)),0))+(HLOOKUP(CONCATENATE($B$6,-2),alles!$D$1:$AA$208,(MATCH(I26,alles!$C$1:$C$208,0)),0)))</f>
        <v>0</v>
      </c>
      <c r="C26" s="272">
        <f>IF(I26="",0,(HLOOKUP(CONCATENATE($C$6,-1),alles!$D$1:$AA$208,(MATCH(I26,alles!$C$1:$C$208,0)),0))+(HLOOKUP(CONCATENATE($C$6,-2),alles!$D$1:$AA$208,(MATCH(I26,alles!$C$1:$C$208,0)),0)))</f>
        <v>0</v>
      </c>
      <c r="D26" s="272">
        <f>IF(I26="",0,(HLOOKUP(CONCATENATE($D$6,-1),alles!$D$1:$AA$208,(MATCH(I26,alles!$C$1:$C$208,0)),0))+(HLOOKUP(CONCATENATE($D$6,-2),alles!$D$1:$AA$208,(MATCH(I26,alles!$C$1:$C$208,0)),0)))</f>
        <v>0</v>
      </c>
      <c r="E26" s="272">
        <f>IF(I26="",0,(HLOOKUP(CONCATENATE($E$6,-1),alles!$D$1:$AA$208,(MATCH(I26,alles!$C$1:$C$208,0)),0))+(HLOOKUP(CONCATENATE($E$6,-2),alles!$D$1:$AA$208,(MATCH(I26,alles!$C$1:$C$208,0)),0)))</f>
        <v>0</v>
      </c>
      <c r="F26" s="276"/>
      <c r="G26" s="259"/>
      <c r="H26" s="259"/>
      <c r="I26" s="542" t="s">
        <v>478</v>
      </c>
    </row>
    <row r="27" spans="1:9" x14ac:dyDescent="0.2">
      <c r="A27" s="552" t="s">
        <v>446</v>
      </c>
      <c r="B27" s="272">
        <f>IF(I27="",0,(HLOOKUP(CONCATENATE($B$6,-1),alles!$D$1:$AA$208,(MATCH(I27,alles!$C$1:$C$208,0)),0))+(HLOOKUP(CONCATENATE($B$6,-2),alles!$D$1:$AA$208,(MATCH(I27,alles!$C$1:$C$208,0)),0)))</f>
        <v>0</v>
      </c>
      <c r="C27" s="272">
        <f>IF(I27="",0,(HLOOKUP(CONCATENATE($C$6,-1),alles!$D$1:$AA$208,(MATCH(I27,alles!$C$1:$C$208,0)),0))+(HLOOKUP(CONCATENATE($C$6,-2),alles!$D$1:$AA$208,(MATCH(I27,alles!$C$1:$C$208,0)),0)))</f>
        <v>0</v>
      </c>
      <c r="D27" s="272">
        <f>IF(I27="",0,(HLOOKUP(CONCATENATE($D$6,-1),alles!$D$1:$AA$208,(MATCH(I27,alles!$C$1:$C$208,0)),0))+(HLOOKUP(CONCATENATE($D$6,-2),alles!$D$1:$AA$208,(MATCH(I27,alles!$C$1:$C$208,0)),0)))</f>
        <v>0</v>
      </c>
      <c r="E27" s="272">
        <f>IF(I27="",0,(HLOOKUP(CONCATENATE($E$6,-1),alles!$D$1:$AA$208,(MATCH(I27,alles!$C$1:$C$208,0)),0))+(HLOOKUP(CONCATENATE($E$6,-2),alles!$D$1:$AA$208,(MATCH(I27,alles!$C$1:$C$208,0)),0)))</f>
        <v>0</v>
      </c>
      <c r="F27" s="276"/>
      <c r="G27" s="259"/>
      <c r="H27" s="259"/>
      <c r="I27" s="542" t="s">
        <v>483</v>
      </c>
    </row>
    <row r="28" spans="1:9" x14ac:dyDescent="0.2">
      <c r="A28" s="701" t="s">
        <v>445</v>
      </c>
      <c r="B28" s="272">
        <f>IF(I28="",0,(HLOOKUP(CONCATENATE($B$6,-1),alles!$D$1:$AA$208,(MATCH(I28,alles!$C$1:$C$208,0)),0))+(HLOOKUP(CONCATENATE($B$6,-2),alles!$D$1:$AA$208,(MATCH(I28,alles!$C$1:$C$208,0)),0)))</f>
        <v>63661.69</v>
      </c>
      <c r="C28" s="272">
        <f>IF(I28="",0,(HLOOKUP(CONCATENATE($C$6,-1),alles!$D$1:$AA$208,(MATCH(I28,alles!$C$1:$C$208,0)),0))+(HLOOKUP(CONCATENATE($C$6,-2),alles!$D$1:$AA$208,(MATCH(I28,alles!$C$1:$C$208,0)),0)))</f>
        <v>40249.040000000001</v>
      </c>
      <c r="D28" s="272">
        <f>IF(I28="",0,(HLOOKUP(CONCATENATE($D$6,-1),alles!$D$1:$AA$208,(MATCH(I28,alles!$C$1:$C$208,0)),0))+(HLOOKUP(CONCATENATE($D$6,-2),alles!$D$1:$AA$208,(MATCH(I28,alles!$C$1:$C$208,0)),0)))</f>
        <v>74452.575000000012</v>
      </c>
      <c r="E28" s="272">
        <f>IF(I28="",0,(HLOOKUP(CONCATENATE($E$6,-1),alles!$D$1:$AA$208,(MATCH(I28,alles!$C$1:$C$208,0)),0))+(HLOOKUP(CONCATENATE($E$6,-2),alles!$D$1:$AA$208,(MATCH(I28,alles!$C$1:$C$208,0)),0)))</f>
        <v>82522.880000000005</v>
      </c>
      <c r="F28" s="276" t="s">
        <v>25</v>
      </c>
      <c r="G28" s="259"/>
      <c r="H28" s="259"/>
      <c r="I28" s="542" t="s">
        <v>300</v>
      </c>
    </row>
    <row r="29" spans="1:9" x14ac:dyDescent="0.2">
      <c r="A29" s="552" t="s">
        <v>9</v>
      </c>
      <c r="B29" s="272">
        <f>IF(I29="",0,(HLOOKUP(CONCATENATE($B$6,-1),alles!$D$1:$AA$208,(MATCH(I29,alles!$C$1:$C$208,0)),0))+(HLOOKUP(CONCATENATE($B$6,-2),alles!$D$1:$AA$208,(MATCH(I29,alles!$C$1:$C$208,0)),0)))</f>
        <v>215922</v>
      </c>
      <c r="C29" s="272">
        <f>IF(I29="",0,(HLOOKUP(CONCATENATE($C$6,-1),alles!$D$1:$AA$208,(MATCH(I29,alles!$C$1:$C$208,0)),0))+(HLOOKUP(CONCATENATE($C$6,-2),alles!$D$1:$AA$208,(MATCH(I29,alles!$C$1:$C$208,0)),0)))</f>
        <v>271184</v>
      </c>
      <c r="D29" s="272">
        <f>IF(I29="",0,(HLOOKUP(CONCATENATE($D$6,-1),alles!$D$1:$AA$208,(MATCH(I29,alles!$C$1:$C$208,0)),0))+(HLOOKUP(CONCATENATE($D$6,-2),alles!$D$1:$AA$208,(MATCH(I29,alles!$C$1:$C$208,0)),0)))</f>
        <v>302496.26</v>
      </c>
      <c r="E29" s="272">
        <f>IF(I29="",0,(HLOOKUP(CONCATENATE($E$6,-1),alles!$D$1:$AA$208,(MATCH(I29,alles!$C$1:$C$208,0)),0))+(HLOOKUP(CONCATENATE($E$6,-2),alles!$D$1:$AA$208,(MATCH(I29,alles!$C$1:$C$208,0)),0)))</f>
        <v>369287.5</v>
      </c>
      <c r="F29" s="276" t="s">
        <v>24</v>
      </c>
      <c r="G29" s="259"/>
      <c r="H29" s="259"/>
      <c r="I29" s="542" t="s">
        <v>299</v>
      </c>
    </row>
    <row r="30" spans="1:9" x14ac:dyDescent="0.2">
      <c r="A30" s="553" t="s">
        <v>459</v>
      </c>
      <c r="B30" s="272">
        <f>IF(I30="",0,(HLOOKUP(CONCATENATE($B$6,-1),alles!$D$1:$AA$208,(MATCH(I30,alles!$C$1:$C$208,0)),0))+(HLOOKUP(CONCATENATE($B$6,-2),alles!$D$1:$AA$208,(MATCH(I30,alles!$C$1:$C$208,0)),0)))</f>
        <v>0</v>
      </c>
      <c r="C30" s="272">
        <f>IF(I30="",0,(HLOOKUP(CONCATENATE($C$6,-1),alles!$D$1:$AA$208,(MATCH(I30,alles!$C$1:$C$208,0)),0))+(HLOOKUP(CONCATENATE($C$6,-2),alles!$D$1:$AA$208,(MATCH(I30,alles!$C$1:$C$208,0)),0)))</f>
        <v>0</v>
      </c>
      <c r="D30" s="272">
        <f>IF(I30="",0,(HLOOKUP(CONCATENATE($D$6,-1),alles!$D$1:$AA$208,(MATCH(I30,alles!$C$1:$C$208,0)),0))+(HLOOKUP(CONCATENATE($D$6,-2),alles!$D$1:$AA$208,(MATCH(I30,alles!$C$1:$C$208,0)),0)))</f>
        <v>0</v>
      </c>
      <c r="E30" s="272">
        <f>IF(I30="",0,(HLOOKUP(CONCATENATE($E$6,-1),alles!$D$1:$AA$208,(MATCH(I30,alles!$C$1:$C$208,0)),0))+(HLOOKUP(CONCATENATE($E$6,-2),alles!$D$1:$AA$208,(MATCH(I30,alles!$C$1:$C$208,0)),0)))</f>
        <v>0</v>
      </c>
      <c r="F30" s="279"/>
      <c r="G30" s="259"/>
      <c r="H30" s="259"/>
      <c r="I30" s="542" t="s">
        <v>488</v>
      </c>
    </row>
    <row r="31" spans="1:9" x14ac:dyDescent="0.2">
      <c r="A31" s="539"/>
      <c r="B31" s="540"/>
      <c r="C31" s="540"/>
      <c r="D31" s="540"/>
      <c r="E31" s="540"/>
      <c r="F31" s="541"/>
      <c r="G31" s="259"/>
      <c r="H31" s="259"/>
    </row>
    <row r="32" spans="1:9" x14ac:dyDescent="0.2">
      <c r="A32" s="514" t="s">
        <v>441</v>
      </c>
      <c r="B32" s="277"/>
      <c r="C32" s="277"/>
      <c r="D32" s="277"/>
      <c r="E32" s="277"/>
      <c r="F32" s="279"/>
      <c r="G32" s="259"/>
      <c r="H32" s="259"/>
    </row>
    <row r="33" spans="1:9" x14ac:dyDescent="0.2">
      <c r="A33" s="552" t="s">
        <v>446</v>
      </c>
      <c r="B33" s="272">
        <f>IF(I33="",0,(HLOOKUP(CONCATENATE($B$6,-1),alles!$D$1:$AA$208,(MATCH(I33,alles!$C$1:$C$208,0)),0))+(HLOOKUP(CONCATENATE($B$6,-2),alles!$D$1:$AA$208,(MATCH(I33,alles!$C$1:$C$208,0)),0)))</f>
        <v>0</v>
      </c>
      <c r="C33" s="272">
        <f>IF(I33="",0,(HLOOKUP(CONCATENATE($C$6,-1),alles!$D$1:$AA$208,(MATCH(I33,alles!$C$1:$C$208,0)),0))+(HLOOKUP(CONCATENATE($C$6,-2),alles!$D$1:$AA$208,(MATCH(I33,alles!$C$1:$C$208,0)),0)))</f>
        <v>0</v>
      </c>
      <c r="D33" s="272">
        <f>IF(I33="",0,(HLOOKUP(CONCATENATE($D$6,-1),alles!$D$1:$AA$208,(MATCH(I33,alles!$C$1:$C$208,0)),0))+(HLOOKUP(CONCATENATE($D$6,-2),alles!$D$1:$AA$208,(MATCH(I33,alles!$C$1:$C$208,0)),0)))</f>
        <v>0</v>
      </c>
      <c r="E33" s="272">
        <f>IF(I33="",0,(HLOOKUP(CONCATENATE($E$6,-1),alles!$D$1:$AA$208,(MATCH(I33,alles!$C$1:$C$208,0)),0))+(HLOOKUP(CONCATENATE($E$6,-2),alles!$D$1:$AA$208,(MATCH(I33,alles!$C$1:$C$208,0)),0)))</f>
        <v>0</v>
      </c>
      <c r="F33" s="276"/>
      <c r="G33" s="259"/>
      <c r="H33" s="259"/>
      <c r="I33" s="542" t="s">
        <v>493</v>
      </c>
    </row>
    <row r="34" spans="1:9" ht="27" x14ac:dyDescent="0.2">
      <c r="A34" s="552" t="s">
        <v>447</v>
      </c>
      <c r="B34" s="272">
        <f>IF(I34="",0,(HLOOKUP(CONCATENATE($B$6,-1),alles!$D$1:$AA$208,(MATCH(I34,alles!$C$1:$C$208,0)),0))+(HLOOKUP(CONCATENATE($B$6,-2),alles!$D$1:$AA$208,(MATCH(I34,alles!$C$1:$C$208,0)),0)))</f>
        <v>0</v>
      </c>
      <c r="C34" s="272">
        <f>IF(I34="",0,(HLOOKUP(CONCATENATE($C$6,-1),alles!$D$1:$AA$208,(MATCH(I34,alles!$C$1:$C$208,0)),0))+(HLOOKUP(CONCATENATE($C$6,-2),alles!$D$1:$AA$208,(MATCH(I34,alles!$C$1:$C$208,0)),0)))</f>
        <v>0</v>
      </c>
      <c r="D34" s="272">
        <f>IF(I34="",0,(HLOOKUP(CONCATENATE($D$6,-1),alles!$D$1:$AA$208,(MATCH(I34,alles!$C$1:$C$208,0)),0))+(HLOOKUP(CONCATENATE($D$6,-2),alles!$D$1:$AA$208,(MATCH(I34,alles!$C$1:$C$208,0)),0)))</f>
        <v>0</v>
      </c>
      <c r="E34" s="272">
        <f>IF(I34="",0,(HLOOKUP(CONCATENATE($E$6,-1),alles!$D$1:$AA$208,(MATCH(I34,alles!$C$1:$C$208,0)),0))+(HLOOKUP(CONCATENATE($E$6,-2),alles!$D$1:$AA$208,(MATCH(I34,alles!$C$1:$C$208,0)),0)))</f>
        <v>0</v>
      </c>
      <c r="F34" s="276"/>
      <c r="G34" s="259"/>
      <c r="H34" s="259"/>
      <c r="I34" s="542" t="s">
        <v>498</v>
      </c>
    </row>
    <row r="35" spans="1:9" x14ac:dyDescent="0.2">
      <c r="A35" s="552" t="s">
        <v>460</v>
      </c>
      <c r="B35" s="272">
        <f>IF(I35="",0,(HLOOKUP(CONCATENATE($B$6,-1),alles!$D$1:$AA$208,(MATCH(I35,alles!$C$1:$C$208,0)),0))+(HLOOKUP(CONCATENATE($B$6,-2),alles!$D$1:$AA$208,(MATCH(I35,alles!$C$1:$C$208,0)),0)))</f>
        <v>0</v>
      </c>
      <c r="C35" s="272">
        <f>IF(I35="",0,(HLOOKUP(CONCATENATE($C$6,-1),alles!$D$1:$AA$208,(MATCH(I35,alles!$C$1:$C$208,0)),0))+(HLOOKUP(CONCATENATE($C$6,-2),alles!$D$1:$AA$208,(MATCH(I35,alles!$C$1:$C$208,0)),0)))</f>
        <v>0</v>
      </c>
      <c r="D35" s="272">
        <f>IF(I35="",0,(HLOOKUP(CONCATENATE($D$6,-1),alles!$D$1:$AA$208,(MATCH(I35,alles!$C$1:$C$208,0)),0))+(HLOOKUP(CONCATENATE($D$6,-2),alles!$D$1:$AA$208,(MATCH(I35,alles!$C$1:$C$208,0)),0)))</f>
        <v>0</v>
      </c>
      <c r="E35" s="272">
        <f>IF(I35="",0,(HLOOKUP(CONCATENATE($E$6,-1),alles!$D$1:$AA$208,(MATCH(I35,alles!$C$1:$C$208,0)),0))+(HLOOKUP(CONCATENATE($E$6,-2),alles!$D$1:$AA$208,(MATCH(I35,alles!$C$1:$C$208,0)),0)))</f>
        <v>0</v>
      </c>
      <c r="F35" s="276"/>
      <c r="I35" s="542" t="s">
        <v>503</v>
      </c>
    </row>
    <row r="36" spans="1:9" ht="27" x14ac:dyDescent="0.2">
      <c r="A36" s="552" t="s">
        <v>462</v>
      </c>
      <c r="B36" s="272">
        <f>IF(I36="",0,(HLOOKUP(CONCATENATE($B$6,-1),alles!$D$1:$AA$208,(MATCH(I36,alles!$C$1:$C$208,0)),0))+(HLOOKUP(CONCATENATE($B$6,-2),alles!$D$1:$AA$208,(MATCH(I36,alles!$C$1:$C$208,0)),0)))</f>
        <v>0</v>
      </c>
      <c r="C36" s="272">
        <f>IF(I36="",0,(HLOOKUP(CONCATENATE($C$6,-1),alles!$D$1:$AA$208,(MATCH(I36,alles!$C$1:$C$208,0)),0))+(HLOOKUP(CONCATENATE($C$6,-2),alles!$D$1:$AA$208,(MATCH(I36,alles!$C$1:$C$208,0)),0)))</f>
        <v>0</v>
      </c>
      <c r="D36" s="272">
        <f>IF(I36="",0,(HLOOKUP(CONCATENATE($D$6,-1),alles!$D$1:$AA$208,(MATCH(I36,alles!$C$1:$C$208,0)),0))+(HLOOKUP(CONCATENATE($D$6,-2),alles!$D$1:$AA$208,(MATCH(I36,alles!$C$1:$C$208,0)),0)))</f>
        <v>0</v>
      </c>
      <c r="E36" s="272">
        <f>IF(I36="",0,(HLOOKUP(CONCATENATE($E$6,-1),alles!$D$1:$AA$208,(MATCH(I36,alles!$C$1:$C$208,0)),0))+(HLOOKUP(CONCATENATE($E$6,-2),alles!$D$1:$AA$208,(MATCH(I36,alles!$C$1:$C$208,0)),0)))</f>
        <v>0</v>
      </c>
      <c r="F36" s="276"/>
      <c r="I36" s="542" t="s">
        <v>508</v>
      </c>
    </row>
    <row r="37" spans="1:9" x14ac:dyDescent="0.2">
      <c r="A37" s="552" t="s">
        <v>448</v>
      </c>
      <c r="B37" s="272">
        <f>IF(I37="",0,(HLOOKUP(CONCATENATE($B$6,-1),alles!$D$1:$AA$208,(MATCH(I37,alles!$C$1:$C$208,0)),0))+(HLOOKUP(CONCATENATE($B$6,-2),alles!$D$1:$AA$208,(MATCH(I37,alles!$C$1:$C$208,0)),0)))</f>
        <v>0</v>
      </c>
      <c r="C37" s="272">
        <f>IF(I37="",0,(HLOOKUP(CONCATENATE($C$6,-1),alles!$D$1:$AA$208,(MATCH(I37,alles!$C$1:$C$208,0)),0))+(HLOOKUP(CONCATENATE($C$6,-2),alles!$D$1:$AA$208,(MATCH(I37,alles!$C$1:$C$208,0)),0)))</f>
        <v>0</v>
      </c>
      <c r="D37" s="272">
        <f>IF(I37="",0,(HLOOKUP(CONCATENATE($D$6,-1),alles!$D$1:$AA$208,(MATCH(I37,alles!$C$1:$C$208,0)),0))+(HLOOKUP(CONCATENATE($D$6,-2),alles!$D$1:$AA$208,(MATCH(I37,alles!$C$1:$C$208,0)),0)))</f>
        <v>0</v>
      </c>
      <c r="E37" s="272">
        <f>IF(I37="",0,(HLOOKUP(CONCATENATE($E$6,-1),alles!$D$1:$AA$208,(MATCH(I37,alles!$C$1:$C$208,0)),0))+(HLOOKUP(CONCATENATE($E$6,-2),alles!$D$1:$AA$208,(MATCH(I37,alles!$C$1:$C$208,0)),0)))</f>
        <v>0</v>
      </c>
      <c r="F37" s="276"/>
      <c r="I37" s="542" t="s">
        <v>513</v>
      </c>
    </row>
    <row r="38" spans="1:9" x14ac:dyDescent="0.2">
      <c r="A38" s="552" t="s">
        <v>449</v>
      </c>
      <c r="B38" s="272">
        <f>IF(I38="",0,(HLOOKUP(CONCATENATE($B$6,-1),alles!$D$1:$AA$208,(MATCH(I38,alles!$C$1:$C$208,0)),0))+(HLOOKUP(CONCATENATE($B$6,-2),alles!$D$1:$AA$208,(MATCH(I38,alles!$C$1:$C$208,0)),0)))</f>
        <v>0</v>
      </c>
      <c r="C38" s="272">
        <f>IF(I38="",0,(HLOOKUP(CONCATENATE($C$6,-1),alles!$D$1:$AA$208,(MATCH(I38,alles!$C$1:$C$208,0)),0))+(HLOOKUP(CONCATENATE($C$6,-2),alles!$D$1:$AA$208,(MATCH(I38,alles!$C$1:$C$208,0)),0)))</f>
        <v>0</v>
      </c>
      <c r="D38" s="272">
        <f>IF(I38="",0,(HLOOKUP(CONCATENATE($D$6,-1),alles!$D$1:$AA$208,(MATCH(I38,alles!$C$1:$C$208,0)),0))+(HLOOKUP(CONCATENATE($D$6,-2),alles!$D$1:$AA$208,(MATCH(I38,alles!$C$1:$C$208,0)),0)))</f>
        <v>0</v>
      </c>
      <c r="E38" s="272">
        <f>IF(I38="",0,(HLOOKUP(CONCATENATE($E$6,-1),alles!$D$1:$AA$208,(MATCH(I38,alles!$C$1:$C$208,0)),0))+(HLOOKUP(CONCATENATE($E$6,-2),alles!$D$1:$AA$208,(MATCH(I38,alles!$C$1:$C$208,0)),0)))</f>
        <v>0</v>
      </c>
      <c r="F38" s="276"/>
      <c r="I38" s="542" t="s">
        <v>514</v>
      </c>
    </row>
    <row r="39" spans="1:9" x14ac:dyDescent="0.2">
      <c r="A39" s="553" t="s">
        <v>450</v>
      </c>
      <c r="B39" s="277">
        <f>IF(I39="",0,(HLOOKUP(CONCATENATE($B$6,-1),alles!$D$1:$AA$208,(MATCH(I39,alles!$C$1:$C$208,0)),0))+(HLOOKUP(CONCATENATE($B$6,-2),alles!$D$1:$AA$208,(MATCH(I39,alles!$C$1:$C$208,0)),0)))</f>
        <v>0</v>
      </c>
      <c r="C39" s="277">
        <f>IF(I39="",0,(HLOOKUP(CONCATENATE($C$6,-1),alles!$D$1:$AA$208,(MATCH(I39,alles!$C$1:$C$208,0)),0))+(HLOOKUP(CONCATENATE($C$6,-2),alles!$D$1:$AA$208,(MATCH(I39,alles!$C$1:$C$208,0)),0)))</f>
        <v>0</v>
      </c>
      <c r="D39" s="277">
        <f>IF(I39="",0,(HLOOKUP(CONCATENATE($D$6,-1),alles!$D$1:$AA$208,(MATCH(I39,alles!$C$1:$C$208,0)),0))+(HLOOKUP(CONCATENATE($D$6,-2),alles!$D$1:$AA$208,(MATCH(I39,alles!$C$1:$C$208,0)),0)))</f>
        <v>0</v>
      </c>
      <c r="E39" s="277">
        <f>IF(I39="",0,(HLOOKUP(CONCATENATE($E$6,-1),alles!$D$1:$AA$208,(MATCH(I39,alles!$C$1:$C$208,0)),0))+(HLOOKUP(CONCATENATE($E$6,-2),alles!$D$1:$AA$208,(MATCH(I39,alles!$C$1:$C$208,0)),0)))</f>
        <v>0</v>
      </c>
      <c r="F39" s="279"/>
      <c r="I39" s="542" t="s">
        <v>515</v>
      </c>
    </row>
  </sheetData>
  <sheetProtection algorithmName="SHA-512" hashValue="r18nYb+GtzfEPkmoHC/GVHid9A/kyuC6++VestWO4zSFEmbh2wW2uflf4Z4RH3fWIoAxiHjQGhyZtUSyCSrAYw==" saltValue="zwnMb4hZdjQFyTXFs0MazQ==" spinCount="100000" sheet="1" objects="1" scenarios="1"/>
  <mergeCells count="1">
    <mergeCell ref="A2:D2"/>
  </mergeCell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9AAC6-25FE-DB46-B91D-A3E2D033086B}">
  <dimension ref="A1:M634"/>
  <sheetViews>
    <sheetView showGridLines="0" topLeftCell="A303" zoomScaleNormal="100" workbookViewId="0">
      <selection activeCell="A334" sqref="A268:I334"/>
    </sheetView>
  </sheetViews>
  <sheetFormatPr baseColWidth="10" defaultRowHeight="16" x14ac:dyDescent="0.2"/>
  <cols>
    <col min="1" max="1" width="21" style="226" customWidth="1"/>
    <col min="2" max="2" width="12" style="226" customWidth="1"/>
    <col min="3" max="10" width="13.6640625" style="226" customWidth="1"/>
    <col min="11" max="11" width="8.83203125" customWidth="1"/>
    <col min="12" max="13" width="10.83203125" hidden="1" customWidth="1"/>
    <col min="14" max="19" width="10.83203125" customWidth="1"/>
  </cols>
  <sheetData>
    <row r="1" spans="1:12" x14ac:dyDescent="0.2">
      <c r="A1" s="234"/>
      <c r="B1" s="234"/>
      <c r="C1" s="234"/>
      <c r="D1" s="234"/>
      <c r="E1" s="234"/>
      <c r="F1" s="234"/>
      <c r="G1" s="234"/>
      <c r="H1" s="234"/>
      <c r="I1" s="234"/>
      <c r="J1" s="234"/>
    </row>
    <row r="2" spans="1:12" ht="16" customHeight="1" x14ac:dyDescent="0.2">
      <c r="A2" s="234"/>
      <c r="B2" s="234" t="s">
        <v>248</v>
      </c>
      <c r="C2" s="234"/>
      <c r="D2" s="234"/>
      <c r="E2" s="234"/>
      <c r="F2" s="234"/>
      <c r="G2" s="234"/>
      <c r="H2" s="234"/>
      <c r="I2" s="234"/>
      <c r="J2" s="234"/>
    </row>
    <row r="3" spans="1:12" ht="6" customHeight="1" thickBot="1" x14ac:dyDescent="0.25">
      <c r="A3" s="234"/>
      <c r="B3" s="234"/>
      <c r="C3" s="234"/>
      <c r="D3" s="234"/>
      <c r="E3" s="234"/>
      <c r="F3" s="234"/>
      <c r="G3" s="234"/>
      <c r="H3" s="234"/>
      <c r="I3" s="234"/>
      <c r="J3" s="234"/>
    </row>
    <row r="4" spans="1:12" x14ac:dyDescent="0.2">
      <c r="A4" s="235"/>
      <c r="B4" s="390"/>
      <c r="C4" s="763">
        <f>Absoluut!$C$3</f>
        <v>2021</v>
      </c>
      <c r="D4" s="764"/>
      <c r="E4" s="765">
        <f>Absoluut!$E$3</f>
        <v>2023</v>
      </c>
      <c r="F4" s="766"/>
      <c r="G4" s="767">
        <f>Absoluut!$G$3</f>
        <v>2024</v>
      </c>
      <c r="H4" s="766"/>
      <c r="I4" s="767">
        <f>Absoluut!$I$3</f>
        <v>2025</v>
      </c>
      <c r="J4" s="766"/>
    </row>
    <row r="5" spans="1:12" x14ac:dyDescent="0.2">
      <c r="A5" s="237"/>
      <c r="B5" s="391"/>
      <c r="C5" s="396" t="s">
        <v>18</v>
      </c>
      <c r="D5" s="397" t="s">
        <v>19</v>
      </c>
      <c r="E5" s="393" t="s">
        <v>18</v>
      </c>
      <c r="F5" s="240" t="s">
        <v>19</v>
      </c>
      <c r="G5" s="239" t="s">
        <v>18</v>
      </c>
      <c r="H5" s="240" t="s">
        <v>19</v>
      </c>
      <c r="I5" s="239" t="s">
        <v>18</v>
      </c>
      <c r="J5" s="240" t="s">
        <v>19</v>
      </c>
    </row>
    <row r="6" spans="1:12" x14ac:dyDescent="0.2">
      <c r="A6" s="408" t="s">
        <v>605</v>
      </c>
      <c r="B6" s="235" t="s">
        <v>249</v>
      </c>
      <c r="C6" s="398">
        <f>(HLOOKUP(CONCATENATE($C$23,-1),alles!$D$1:$AA$208,(MATCH(L6,alles!$C$1:$C$208,0)),0))+(IF(M6="",0,(HLOOKUP(CONCATENATE($C$23,-1),alles!$D$1:$AA$208,(MATCH(M6,alles!$C$1:$C$208,0)),0))+(IF(N6="",0,HLOOKUP(CONCATENATE($C$23,-1),alles!$D$1:$AA$208,(MATCH(N6,alles!$C$1:$C$208,0)),0)))+(IF(O6="",0,HLOOKUP(CONCATENATE($C$23,-1),alles!$D$1:$AA$208,(MATCH(O6,alles!$C$1:$C$208,0)),0)))+(IF(P6="",0,HLOOKUP(CONCATENATE($C$23,-1),alles!$D$1:$AA$208,(MATCH(P6,alles!$C$1:$C$208,0)),0))+(IF(Q6="",0,(HLOOKUP(CONCATENATE($C$23,-1),alles!$D$1:$AA$208,(MATCH(Q6,alles!$C$1:$C$208,0)),0)))))))</f>
        <v>5309</v>
      </c>
      <c r="D6" s="399">
        <f>(HLOOKUP(CONCATENATE($C$23,-2),alles!$D$1:$AA$208,(MATCH(L6,alles!$C$1:$C$208,0)),0))+(IF(M6="",0,(HLOOKUP(CONCATENATE($C$23,-2),alles!$D$1:$AA$208,(MATCH(M6,alles!$C$1:$C$208,0)),0))+(IF(N6="",0,HLOOKUP(CONCATENATE($C$23,-2),alles!$D$1:$AA$208,(MATCH(N6,alles!$C$1:$C$208,0)),0)))+(IF(O6="",0,HLOOKUP(CONCATENATE($C$23,-2),alles!$D$1:$AA$208,(MATCH(O6,alles!$C$1:$C$208,0)),0)))+(IF(P6="",0,HLOOKUP(CONCATENATE($C$23,-2),alles!$D$1:$AA$208,(MATCH(P6,alles!$C$1:$C$208,0)),0))+(IF(Q6="",0,(HLOOKUP(CONCATENATE($C$23,-2),alles!$D$1:$AA$208,(MATCH(Q6,alles!$C$1:$C$208,0)),0)))))))</f>
        <v>6017</v>
      </c>
      <c r="E6" s="394">
        <f>(HLOOKUP(CONCATENATE($E$23,-1),alles!$D$1:$AA$208,(MATCH(L6,alles!$C$1:$C$208,0)),0))+(IF(M6="",0,(HLOOKUP(CONCATENATE($E$23,-1),alles!$D$1:$AA$208,(MATCH(M6,alles!$C$1:$C$208,0)),0))+(IF(N6="",0,HLOOKUP(CONCATENATE($E$23,-1),alles!$D$1:$AA$208,(MATCH(N6,alles!$C$1:$C$208,0)),0)))+(IF(O6="",0,HLOOKUP(CONCATENATE($E$23,-1),alles!$D$1:$AA$208,(MATCH(O6,alles!$C$1:$C$208,0)),0)))+(IF(P6="",0,HLOOKUP(CONCATENATE($E$23,-1),alles!$D$1:$AA$208,(MATCH(P6,alles!$C$1:$C$208,0)),0))+(IF(Q6="",0,(HLOOKUP(CONCATENATE($E$23,-1),alles!$D$1:$AA$208,(MATCH(Q6,alles!$C$1:$C$208,0)),0)))))))</f>
        <v>5777</v>
      </c>
      <c r="F6" s="242">
        <f>(HLOOKUP(CONCATENATE($E$23,-2),alles!$D$1:$AA$208,(MATCH(L6,alles!$C$1:$C$208,0)),0))+(IF(M6="",0,(HLOOKUP(CONCATENATE($E$23,-2),alles!$D$1:$AA$208,(MATCH(M6,alles!$C$1:$C$208,0)),0))+(IF(N6="",0,HLOOKUP(CONCATENATE($E$23,-2),alles!$D$1:$AA$208,(MATCH(N6,alles!$C$1:$C$208,0)),0)))+(IF(O6="",0,HLOOKUP(CONCATENATE($E$23,-2),alles!$D$1:$AA$208,(MATCH(O6,alles!$C$1:$C$208,0)),0)))+(IF(P6="",0,HLOOKUP(CONCATENATE($E$23,-2),alles!$D$1:$AA$208,(MATCH(P6,alles!$C$1:$C$208,0)),0))+(IF(Q6="",0,(HLOOKUP(CONCATENATE($E$23,-2),alles!$D$1:$AA$208,(MATCH(Q6,alles!$C$1:$C$208,0)),0)))))))</f>
        <v>4273</v>
      </c>
      <c r="G6" s="242">
        <f>(HLOOKUP(CONCATENATE($G$23,-1),alles!$D$1:$AA$208,(MATCH(L6,alles!$C$1:$C$208,0)),0))+(IF(M6="",0,(HLOOKUP(CONCATENATE($G$23,-1),alles!$D$1:$AA$208,(MATCH(M6,alles!$C$1:$C$208,0)),0))+(IF(N6="",0,HLOOKUP(CONCATENATE($G$23,-1),alles!$D$1:$AA$208,(MATCH(N6,alles!$C$1:$C$208,0)),0)))+(IF(O6="",0,HLOOKUP(CONCATENATE($G$23,-1),alles!$D$1:$AA$208,(MATCH(O6,alles!$C$1:$C$208,0)),0)))+(IF(P6="",0,HLOOKUP(CONCATENATE($G$23,-1),alles!$D$1:$AA$208,(MATCH(P6,alles!$C$1:$C$208,0)),0))+(IF(Q6="",0,(HLOOKUP(CONCATENATE($G$23,-1),alles!$D$1:$AA$208,(MATCH(Q6,alles!$C$1:$C$208,0)),0)))))))</f>
        <v>6026</v>
      </c>
      <c r="H6" s="242">
        <f>(HLOOKUP(CONCATENATE($G$23,-2),alles!$D$1:$AA$208,(MATCH(L6,alles!$C$1:$C$208,0)),0))+(IF(M6="",0,(HLOOKUP(CONCATENATE($G$23,-2),alles!$D$1:$AA$208,(MATCH(M6,alles!$C$1:$C$208,0)),0))+(IF(N6="",0,HLOOKUP(CONCATENATE($G$23,-2),alles!$D$1:$AA$208,(MATCH(N6,alles!$C$1:$C$208,0)),0)))+(IF(O6="",0,HLOOKUP(CONCATENATE($G$23,-2),alles!$D$1:$AA$208,(MATCH(O6,alles!$C$1:$C$208,0)),0)))+(IF(P6="",0,HLOOKUP(CONCATENATE($G$23,-2),alles!$D$1:$AA$208,(MATCH(P6,alles!$C$1:$C$208,0)),0))+(IF(Q6="",0,(HLOOKUP(CONCATENATE($G$23,-2),alles!$D$1:$AA$208,(MATCH(Q6,alles!$C$1:$C$208,0)),0)))))))</f>
        <v>5308</v>
      </c>
      <c r="I6" s="242">
        <f>(HLOOKUP(CONCATENATE($I$23,-1),alles!$D$1:$AA$208,(MATCH(L6,alles!$C$1:$C$208,0)),0))+(IF(M6="",0,(HLOOKUP(CONCATENATE($I$23,-1),alles!$D$1:$AA$208,(MATCH(M6,alles!$C$1:$C$208,0)),0))+(IF(N6="",0,HLOOKUP(CONCATENATE($I$23,-1),alles!$D$1:$AA$208,(MATCH(N6,alles!$C$1:$C$208,0)),0)))+(IF(O6="",0,HLOOKUP(CONCATENATE($I$23,-1),alles!$D$1:$AA$208,(MATCH(O6,alles!$C$1:$C$208,0)),0)))+(IF(P6="",0,HLOOKUP(CONCATENATE($I$23,-1),alles!$D$1:$AA$208,(MATCH(P6,alles!$C$1:$C$208,0)),0))+(IF(Q6="",0,(HLOOKUP(CONCATENATE($I$23,-1),alles!$D$1:$AA$208,(MATCH(Q6,alles!$C$1:$C$208,0)),0)))))))</f>
        <v>4998</v>
      </c>
      <c r="J6" s="242">
        <f>(HLOOKUP(CONCATENATE($I$23,-2),alles!$D$1:$AA$208,(MATCH(L6,alles!$C$1:$C$208,0)),0))+(IF(M6="",0,(HLOOKUP(CONCATENATE($I$23,-2),alles!$D$1:$AA$208,(MATCH(M6,alles!$C$1:$C$208,0)),0))+(IF(N6="",0,HLOOKUP(CONCATENATE($I$23,-2),alles!$D$1:$AA$208,(MATCH(N6,alles!$C$1:$C$208,0)),0)))+(IF(O6="",0,HLOOKUP(CONCATENATE($I$23,-2),alles!$D$1:$AA$208,(MATCH(O6,alles!$C$1:$C$208,0)),0)))+(IF(P6="",0,HLOOKUP(CONCATENATE($I$23,-2),alles!$D$1:$AA$208,(MATCH(P6,alles!$C$1:$C$208,0)),0))+(IF(Q6="",0,(HLOOKUP(CONCATENATE($I$23,-2),alles!$D$1:$AA$208,(MATCH(Q6,alles!$C$1:$C$208,0)),0)))))))</f>
        <v>3375</v>
      </c>
      <c r="L6" t="s">
        <v>549</v>
      </c>
    </row>
    <row r="7" spans="1:12" ht="17" thickBot="1" x14ac:dyDescent="0.25">
      <c r="A7" s="244"/>
      <c r="B7" s="392" t="s">
        <v>31</v>
      </c>
      <c r="C7" s="400">
        <f>C6</f>
        <v>5309</v>
      </c>
      <c r="D7" s="401">
        <f>D6</f>
        <v>6017</v>
      </c>
      <c r="E7" s="395">
        <f>E6</f>
        <v>5777</v>
      </c>
      <c r="F7" s="246">
        <f>F6</f>
        <v>4273</v>
      </c>
      <c r="G7" s="246">
        <f t="shared" ref="G7:J7" si="0">G6</f>
        <v>6026</v>
      </c>
      <c r="H7" s="246">
        <f t="shared" si="0"/>
        <v>5308</v>
      </c>
      <c r="I7" s="246">
        <f t="shared" si="0"/>
        <v>4998</v>
      </c>
      <c r="J7" s="246">
        <f t="shared" si="0"/>
        <v>3375</v>
      </c>
    </row>
    <row r="8" spans="1:12" ht="6" customHeight="1" x14ac:dyDescent="0.2">
      <c r="A8" s="234"/>
      <c r="B8" s="428"/>
      <c r="C8" s="429"/>
      <c r="D8" s="429"/>
      <c r="E8" s="429"/>
      <c r="F8" s="429"/>
      <c r="G8" s="429"/>
      <c r="H8" s="429"/>
      <c r="I8" s="429"/>
      <c r="J8" s="429"/>
    </row>
    <row r="9" spans="1:12" x14ac:dyDescent="0.2">
      <c r="A9" s="234"/>
      <c r="B9" s="428"/>
      <c r="C9" s="429"/>
      <c r="D9" s="429"/>
      <c r="E9" s="429"/>
      <c r="F9" s="429"/>
      <c r="G9" s="429"/>
      <c r="H9" s="429"/>
      <c r="I9" s="429"/>
      <c r="J9" s="429"/>
    </row>
    <row r="10" spans="1:12" x14ac:dyDescent="0.2">
      <c r="A10" s="234"/>
      <c r="B10" s="428"/>
      <c r="C10" s="429"/>
      <c r="D10" s="429"/>
      <c r="E10" s="429"/>
      <c r="F10" s="429"/>
      <c r="G10" s="429"/>
      <c r="H10" s="429"/>
      <c r="I10" s="429"/>
      <c r="J10" s="429"/>
    </row>
    <row r="11" spans="1:12" x14ac:dyDescent="0.2">
      <c r="A11" s="234"/>
      <c r="B11" s="428"/>
      <c r="C11" s="429"/>
      <c r="D11" s="429"/>
      <c r="E11" s="429"/>
      <c r="F11" s="429"/>
      <c r="G11" s="429"/>
      <c r="H11" s="429"/>
      <c r="I11" s="429"/>
      <c r="J11" s="429"/>
    </row>
    <row r="12" spans="1:12" x14ac:dyDescent="0.2">
      <c r="A12" s="234"/>
      <c r="B12" s="428"/>
      <c r="C12" s="429"/>
      <c r="D12" s="429"/>
      <c r="E12" s="429"/>
      <c r="F12" s="429"/>
      <c r="G12" s="429"/>
      <c r="H12" s="429"/>
      <c r="I12" s="429"/>
      <c r="J12" s="429"/>
    </row>
    <row r="13" spans="1:12" x14ac:dyDescent="0.2">
      <c r="A13" s="234"/>
      <c r="B13" s="428"/>
      <c r="C13" s="429"/>
      <c r="D13" s="429"/>
      <c r="E13" s="429"/>
      <c r="F13" s="429"/>
      <c r="G13" s="429"/>
      <c r="H13" s="429"/>
      <c r="I13" s="429"/>
      <c r="J13" s="429"/>
    </row>
    <row r="14" spans="1:12" x14ac:dyDescent="0.2">
      <c r="A14" s="234"/>
      <c r="B14" s="428"/>
      <c r="C14" s="429"/>
      <c r="D14" s="429"/>
      <c r="E14" s="429"/>
      <c r="F14" s="429"/>
      <c r="G14" s="429"/>
      <c r="H14" s="429"/>
      <c r="I14" s="429"/>
      <c r="J14" s="429"/>
    </row>
    <row r="15" spans="1:12" x14ac:dyDescent="0.2">
      <c r="A15" s="234"/>
      <c r="B15" s="428"/>
      <c r="C15" s="429"/>
      <c r="D15" s="429"/>
      <c r="E15" s="429"/>
      <c r="F15" s="429"/>
      <c r="G15" s="429"/>
      <c r="H15" s="429"/>
      <c r="I15" s="429"/>
      <c r="J15" s="429"/>
    </row>
    <row r="16" spans="1:12" x14ac:dyDescent="0.2">
      <c r="A16" s="234"/>
      <c r="B16" s="428"/>
      <c r="C16" s="429"/>
      <c r="D16" s="429"/>
      <c r="E16" s="429"/>
      <c r="F16" s="429"/>
      <c r="G16" s="429"/>
      <c r="H16" s="429"/>
      <c r="I16" s="429"/>
      <c r="J16" s="429"/>
    </row>
    <row r="17" spans="1:12" x14ac:dyDescent="0.2">
      <c r="A17" s="234"/>
      <c r="B17" s="428"/>
      <c r="C17" s="429"/>
      <c r="D17" s="429"/>
      <c r="E17" s="429"/>
      <c r="F17" s="429"/>
      <c r="G17" s="429"/>
      <c r="H17" s="429"/>
      <c r="I17" s="429"/>
      <c r="J17" s="429"/>
    </row>
    <row r="18" spans="1:12" x14ac:dyDescent="0.2">
      <c r="A18" s="234"/>
      <c r="B18" s="428"/>
      <c r="C18" s="429"/>
      <c r="D18" s="429"/>
      <c r="E18" s="429"/>
      <c r="F18" s="429"/>
      <c r="G18" s="429"/>
      <c r="H18" s="429"/>
      <c r="I18" s="429"/>
      <c r="J18" s="429"/>
    </row>
    <row r="19" spans="1:12" x14ac:dyDescent="0.2">
      <c r="A19" s="234"/>
      <c r="B19" s="428"/>
      <c r="C19" s="429"/>
      <c r="D19" s="429"/>
      <c r="E19" s="429"/>
      <c r="F19" s="429"/>
      <c r="G19" s="429"/>
      <c r="H19" s="429"/>
      <c r="I19" s="429"/>
      <c r="J19" s="429"/>
    </row>
    <row r="20" spans="1:12" x14ac:dyDescent="0.2">
      <c r="A20" s="234"/>
      <c r="B20" s="234"/>
      <c r="C20" s="234"/>
      <c r="D20" s="234"/>
      <c r="E20" s="234"/>
      <c r="F20" s="234"/>
      <c r="G20" s="234"/>
      <c r="H20" s="234"/>
      <c r="I20" s="234"/>
      <c r="J20" s="234"/>
    </row>
    <row r="21" spans="1:12" x14ac:dyDescent="0.2">
      <c r="A21" s="234"/>
      <c r="B21" s="234" t="s">
        <v>250</v>
      </c>
      <c r="C21" s="234"/>
      <c r="D21" s="234"/>
      <c r="E21" s="234"/>
      <c r="F21" s="234"/>
      <c r="G21" s="234"/>
      <c r="H21" s="234"/>
      <c r="I21" s="234"/>
      <c r="J21" s="234"/>
    </row>
    <row r="22" spans="1:12" ht="6" customHeight="1" thickBot="1" x14ac:dyDescent="0.25">
      <c r="A22" s="234"/>
      <c r="B22" s="234"/>
      <c r="C22" s="234"/>
      <c r="D22" s="234"/>
      <c r="E22" s="234"/>
      <c r="F22" s="234"/>
      <c r="G22" s="234"/>
      <c r="H22" s="234"/>
      <c r="I22" s="234"/>
      <c r="J22" s="234"/>
    </row>
    <row r="23" spans="1:12" x14ac:dyDescent="0.2">
      <c r="A23" s="235"/>
      <c r="B23" s="390"/>
      <c r="C23" s="763">
        <f>Absoluut!$C$3</f>
        <v>2021</v>
      </c>
      <c r="D23" s="764"/>
      <c r="E23" s="765">
        <f>Absoluut!$E$3</f>
        <v>2023</v>
      </c>
      <c r="F23" s="766"/>
      <c r="G23" s="767">
        <f>Absoluut!$G$3</f>
        <v>2024</v>
      </c>
      <c r="H23" s="766"/>
      <c r="I23" s="767">
        <f>Absoluut!$I$3</f>
        <v>2025</v>
      </c>
      <c r="J23" s="766"/>
    </row>
    <row r="24" spans="1:12" x14ac:dyDescent="0.2">
      <c r="A24" s="237"/>
      <c r="B24" s="391"/>
      <c r="C24" s="396" t="s">
        <v>18</v>
      </c>
      <c r="D24" s="397" t="s">
        <v>19</v>
      </c>
      <c r="E24" s="393" t="s">
        <v>18</v>
      </c>
      <c r="F24" s="240" t="s">
        <v>19</v>
      </c>
      <c r="G24" s="239" t="s">
        <v>18</v>
      </c>
      <c r="H24" s="240" t="s">
        <v>19</v>
      </c>
      <c r="I24" s="239" t="s">
        <v>18</v>
      </c>
      <c r="J24" s="240" t="s">
        <v>19</v>
      </c>
    </row>
    <row r="25" spans="1:12" x14ac:dyDescent="0.2">
      <c r="A25" s="241" t="s">
        <v>14</v>
      </c>
      <c r="B25" s="235" t="s">
        <v>21</v>
      </c>
      <c r="C25" s="398">
        <f>(HLOOKUP(CONCATENATE($C$23,-1),alles!$D$1:$AA$208,(MATCH(L25,alles!$C$1:$C$208,0)),0))+(IF(M25="",0,(HLOOKUP(CONCATENATE($C$23,-1),alles!$D$1:$AA$208,(MATCH(M25,alles!$C$1:$C$208,0)),0))+(IF(N25="",0,HLOOKUP(CONCATENATE($C$23,-1),alles!$D$1:$AA$208,(MATCH(N25,alles!$C$1:$C$208,0)),0)))+(IF(O25="",0,HLOOKUP(CONCATENATE($C$23,-1),alles!$D$1:$AA$208,(MATCH(O25,alles!$C$1:$C$208,0)),0)))+(IF(P25="",0,HLOOKUP(CONCATENATE($C$23,-1),alles!$D$1:$AA$208,(MATCH(P25,alles!$C$1:$C$208,0)),0))+(IF(Q25="",0,(HLOOKUP(CONCATENATE($C$23,-1),alles!$D$1:$AA$208,(MATCH(Q25,alles!$C$1:$C$208,0)),0)))))))</f>
        <v>49204.300000000017</v>
      </c>
      <c r="D25" s="399">
        <f>(HLOOKUP(CONCATENATE($C$23,-2),alles!$D$1:$AA$208,(MATCH(L25,alles!$C$1:$C$208,0)),0))+(IF(M25="",0,(HLOOKUP(CONCATENATE($C$23,-2),alles!$D$1:$AA$208,(MATCH(M25,alles!$C$1:$C$208,0)),0))+(IF(N25="",0,HLOOKUP(CONCATENATE($C$23,-2),alles!$D$1:$AA$208,(MATCH(N25,alles!$C$1:$C$208,0)),0)))+(IF(O25="",0,HLOOKUP(CONCATENATE($C$23,-2),alles!$D$1:$AA$208,(MATCH(O25,alles!$C$1:$C$208,0)),0)))+(IF(P25="",0,HLOOKUP(CONCATENATE($C$23,-2),alles!$D$1:$AA$208,(MATCH(P25,alles!$C$1:$C$208,0)),0))+(IF(Q25="",0,(HLOOKUP(CONCATENATE($C$23,-2),alles!$D$1:$AA$208,(MATCH(Q25,alles!$C$1:$C$208,0)),0)))))))</f>
        <v>40994.000000000029</v>
      </c>
      <c r="E25" s="394">
        <f>(HLOOKUP(CONCATENATE($E$23,-1),alles!$D$1:$AA$208,(MATCH(L25,alles!$C$1:$C$208,0)),0))+(IF(M25="",0,(HLOOKUP(CONCATENATE($E$23,-1),alles!$D$1:$AA$208,(MATCH(M25,alles!$C$1:$C$208,0)),0))+(IF(N25="",0,HLOOKUP(CONCATENATE($E$23,-1),alles!$D$1:$AA$208,(MATCH(N25,alles!$C$1:$C$208,0)),0)))+(IF(O25="",0,HLOOKUP(CONCATENATE($E$23,-1),alles!$D$1:$AA$208,(MATCH(O25,alles!$C$1:$C$208,0)),0)))+(IF(P25="",0,HLOOKUP(CONCATENATE($E$23,-1),alles!$D$1:$AA$208,(MATCH(P25,alles!$C$1:$C$208,0)),0))+(IF(Q25="",0,(HLOOKUP(CONCATENATE($E$23,-1),alles!$D$1:$AA$208,(MATCH(Q25,alles!$C$1:$C$208,0)),0)))))))</f>
        <v>51010.75</v>
      </c>
      <c r="F25" s="242">
        <f>(HLOOKUP(CONCATENATE($E$23,-2),alles!$D$1:$AA$208,(MATCH(L25,alles!$C$1:$C$208,0)),0))+(IF(M25="",0,(HLOOKUP(CONCATENATE($E$23,-2),alles!$D$1:$AA$208,(MATCH(M25,alles!$C$1:$C$208,0)),0))+(IF(N25="",0,HLOOKUP(CONCATENATE($E$23,-2),alles!$D$1:$AA$208,(MATCH(N25,alles!$C$1:$C$208,0)),0)))+(IF(O25="",0,HLOOKUP(CONCATENATE($E$23,-2),alles!$D$1:$AA$208,(MATCH(O25,alles!$C$1:$C$208,0)),0)))+(IF(P25="",0,HLOOKUP(CONCATENATE($E$23,-2),alles!$D$1:$AA$208,(MATCH(P25,alles!$C$1:$C$208,0)),0))+(IF(Q25="",0,(HLOOKUP(CONCATENATE($E$23,-2),alles!$D$1:$AA$208,(MATCH(Q25,alles!$C$1:$C$208,0)),0)))))))</f>
        <v>60800.6</v>
      </c>
      <c r="G25" s="242">
        <f>(HLOOKUP(CONCATENATE($G$23,-1),alles!$D$1:$AA$208,(MATCH(L25,alles!$C$1:$C$208,0)),0))+(IF(M25="",0,(HLOOKUP(CONCATENATE($G$23,-1),alles!$D$1:$AA$208,(MATCH(M25,alles!$C$1:$C$208,0)),0))+(IF(N25="",0,HLOOKUP(CONCATENATE($G$23,-1),alles!$D$1:$AA$208,(MATCH(N25,alles!$C$1:$C$208,0)),0)))+(IF(O25="",0,HLOOKUP(CONCATENATE($G$23,-1),alles!$D$1:$AA$208,(MATCH(O25,alles!$C$1:$C$208,0)),0)))+(IF(P25="",0,HLOOKUP(CONCATENATE($G$23,-1),alles!$D$1:$AA$208,(MATCH(P25,alles!$C$1:$C$208,0)),0))+(IF(Q25="",0,(HLOOKUP(CONCATENATE($G$23,-1),alles!$D$1:$AA$208,(MATCH(Q25,alles!$C$1:$C$208,0)),0)))))))</f>
        <v>72776.600000000006</v>
      </c>
      <c r="H25" s="242">
        <f>(HLOOKUP(CONCATENATE($G$23,-2),alles!$D$1:$AA$208,(MATCH(L25,alles!$C$1:$C$208,0)),0))+(IF(M25="",0,(HLOOKUP(CONCATENATE($G$23,-2),alles!$D$1:$AA$208,(MATCH(M25,alles!$C$1:$C$208,0)),0))+(IF(N25="",0,HLOOKUP(CONCATENATE($G$23,-2),alles!$D$1:$AA$208,(MATCH(N25,alles!$C$1:$C$208,0)),0)))+(IF(O25="",0,HLOOKUP(CONCATENATE($G$23,-2),alles!$D$1:$AA$208,(MATCH(O25,alles!$C$1:$C$208,0)),0)))+(IF(P25="",0,HLOOKUP(CONCATENATE($G$23,-2),alles!$D$1:$AA$208,(MATCH(P25,alles!$C$1:$C$208,0)),0))+(IF(Q25="",0,(HLOOKUP(CONCATENATE($G$23,-2),alles!$D$1:$AA$208,(MATCH(Q25,alles!$C$1:$C$208,0)),0)))))))</f>
        <v>81764.899999999994</v>
      </c>
      <c r="I25" s="242">
        <f>(HLOOKUP(CONCATENATE($I$23,-1),alles!$D$1:$AA$208,(MATCH(L25,alles!$C$1:$C$208,0)),0))+(IF(M25="",0,(HLOOKUP(CONCATENATE($I$23,-1),alles!$D$1:$AA$208,(MATCH(M25,alles!$C$1:$C$208,0)),0))+(IF(N25="",0,HLOOKUP(CONCATENATE($I$23,-1),alles!$D$1:$AA$208,(MATCH(N25,alles!$C$1:$C$208,0)),0)))+(IF(O25="",0,HLOOKUP(CONCATENATE($I$23,-1),alles!$D$1:$AA$208,(MATCH(O25,alles!$C$1:$C$208,0)),0)))+(IF(P25="",0,HLOOKUP(CONCATENATE($I$23,-1),alles!$D$1:$AA$208,(MATCH(P25,alles!$C$1:$C$208,0)),0))+(IF(Q25="",0,(HLOOKUP(CONCATENATE($I$23,-1),alles!$D$1:$AA$208,(MATCH(Q25,alles!$C$1:$C$208,0)),0)))))))</f>
        <v>50268.800000000003</v>
      </c>
      <c r="J25" s="242">
        <f>(HLOOKUP(CONCATENATE($I$23,-2),alles!$D$1:$AA$208,(MATCH(L25,alles!$C$1:$C$208,0)),0))+(IF(M25="",0,(HLOOKUP(CONCATENATE($I$23,-2),alles!$D$1:$AA$208,(MATCH(M25,alles!$C$1:$C$208,0)),0))+(IF(N25="",0,HLOOKUP(CONCATENATE($I$23,-2),alles!$D$1:$AA$208,(MATCH(N25,alles!$C$1:$C$208,0)),0)))+(IF(O25="",0,HLOOKUP(CONCATENATE($I$23,-2),alles!$D$1:$AA$208,(MATCH(O25,alles!$C$1:$C$208,0)),0)))+(IF(P25="",0,HLOOKUP(CONCATENATE($I$23,-2),alles!$D$1:$AA$208,(MATCH(P25,alles!$C$1:$C$208,0)),0))+(IF(Q25="",0,(HLOOKUP(CONCATENATE($I$23,-2),alles!$D$1:$AA$208,(MATCH(Q25,alles!$C$1:$C$208,0)),0)))))))</f>
        <v>40698.899999999994</v>
      </c>
      <c r="L25" t="s">
        <v>406</v>
      </c>
    </row>
    <row r="26" spans="1:12" x14ac:dyDescent="0.2">
      <c r="A26" s="247" t="s">
        <v>559</v>
      </c>
      <c r="B26" s="248" t="s">
        <v>21</v>
      </c>
      <c r="C26" s="398">
        <f>(HLOOKUP(CONCATENATE($C$23,-1),alles!$D$1:$AA$208,(MATCH(L26,alles!$C$1:$C$208,0)),0))+(IF(M26="",0,(HLOOKUP(CONCATENATE($C$23,-1),alles!$D$1:$AA$208,(MATCH(M26,alles!$C$1:$C$208,0)),0))+(IF(N26="",0,HLOOKUP(CONCATENATE($C$23,-1),alles!$D$1:$AA$208,(MATCH(N26,alles!$C$1:$C$208,0)),0)))+(IF(O26="",0,HLOOKUP(CONCATENATE($C$23,-1),alles!$D$1:$AA$208,(MATCH(O26,alles!$C$1:$C$208,0)),0)))+(IF(P26="",0,HLOOKUP(CONCATENATE($C$23,-1),alles!$D$1:$AA$208,(MATCH(P26,alles!$C$1:$C$208,0)),0))+(IF(Q26="",0,(HLOOKUP(CONCATENATE($C$23,-1),alles!$D$1:$AA$208,(MATCH(Q26,alles!$C$1:$C$208,0)),0)))))))</f>
        <v>46387.45</v>
      </c>
      <c r="D26" s="399">
        <f>(HLOOKUP(CONCATENATE($C$23,-2),alles!$D$1:$AA$208,(MATCH(L26,alles!$C$1:$C$208,0)),0))+(IF(M26="",0,(HLOOKUP(CONCATENATE($C$23,-2),alles!$D$1:$AA$208,(MATCH(M26,alles!$C$1:$C$208,0)),0))+(IF(N26="",0,HLOOKUP(CONCATENATE($C$23,-2),alles!$D$1:$AA$208,(MATCH(N26,alles!$C$1:$C$208,0)),0)))+(IF(O26="",0,HLOOKUP(CONCATENATE($C$23,-2),alles!$D$1:$AA$208,(MATCH(O26,alles!$C$1:$C$208,0)),0)))+(IF(P26="",0,HLOOKUP(CONCATENATE($C$23,-2),alles!$D$1:$AA$208,(MATCH(P26,alles!$C$1:$C$208,0)),0))+(IF(Q26="",0,(HLOOKUP(CONCATENATE($C$23,-2),alles!$D$1:$AA$208,(MATCH(Q26,alles!$C$1:$C$208,0)),0)))))))</f>
        <v>46387.45</v>
      </c>
      <c r="E26" s="394">
        <f>(HLOOKUP(CONCATENATE($E$23,-1),alles!$D$1:$AA$208,(MATCH(L26,alles!$C$1:$C$208,0)),0))+(IF(M26="",0,(HLOOKUP(CONCATENATE($E$23,-1),alles!$D$1:$AA$208,(MATCH(M26,alles!$C$1:$C$208,0)),0))+(IF(N26="",0,HLOOKUP(CONCATENATE($E$23,-1),alles!$D$1:$AA$208,(MATCH(N26,alles!$C$1:$C$208,0)),0)))+(IF(O26="",0,HLOOKUP(CONCATENATE($E$23,-1),alles!$D$1:$AA$208,(MATCH(O26,alles!$C$1:$C$208,0)),0)))+(IF(P26="",0,HLOOKUP(CONCATENATE($E$23,-1),alles!$D$1:$AA$208,(MATCH(P26,alles!$C$1:$C$208,0)),0))+(IF(Q26="",0,(HLOOKUP(CONCATENATE($E$23,-1),alles!$D$1:$AA$208,(MATCH(Q26,alles!$C$1:$C$208,0)),0)))))))</f>
        <v>53292.35</v>
      </c>
      <c r="F26" s="242">
        <f>(HLOOKUP(CONCATENATE($E$23,-2),alles!$D$1:$AA$208,(MATCH(L26,alles!$C$1:$C$208,0)),0))+(IF(M26="",0,(HLOOKUP(CONCATENATE($E$23,-2),alles!$D$1:$AA$208,(MATCH(M26,alles!$C$1:$C$208,0)),0))+(IF(N26="",0,HLOOKUP(CONCATENATE($E$23,-2),alles!$D$1:$AA$208,(MATCH(N26,alles!$C$1:$C$208,0)),0)))+(IF(O26="",0,HLOOKUP(CONCATENATE($E$23,-2),alles!$D$1:$AA$208,(MATCH(O26,alles!$C$1:$C$208,0)),0)))+(IF(P26="",0,HLOOKUP(CONCATENATE($E$23,-2),alles!$D$1:$AA$208,(MATCH(P26,alles!$C$1:$C$208,0)),0))+(IF(Q26="",0,(HLOOKUP(CONCATENATE($E$23,-2),alles!$D$1:$AA$208,(MATCH(Q26,alles!$C$1:$C$208,0)),0)))))))</f>
        <v>53292.35</v>
      </c>
      <c r="G26" s="242">
        <f>(HLOOKUP(CONCATENATE($G$23,-1),alles!$D$1:$AA$208,(MATCH(L26,alles!$C$1:$C$208,0)),0))+(IF(M26="",0,(HLOOKUP(CONCATENATE($G$23,-1),alles!$D$1:$AA$208,(MATCH(M26,alles!$C$1:$C$208,0)),0))+(IF(N26="",0,HLOOKUP(CONCATENATE($G$23,-1),alles!$D$1:$AA$208,(MATCH(N26,alles!$C$1:$C$208,0)),0)))+(IF(O26="",0,HLOOKUP(CONCATENATE($G$23,-1),alles!$D$1:$AA$208,(MATCH(O26,alles!$C$1:$C$208,0)),0)))+(IF(P26="",0,HLOOKUP(CONCATENATE($G$23,-1),alles!$D$1:$AA$208,(MATCH(P26,alles!$C$1:$C$208,0)),0))+(IF(Q26="",0,(HLOOKUP(CONCATENATE($G$23,-1),alles!$D$1:$AA$208,(MATCH(Q26,alles!$C$1:$C$208,0)),0)))))))</f>
        <v>49776.2</v>
      </c>
      <c r="H26" s="242">
        <f>(HLOOKUP(CONCATENATE($G$23,-2),alles!$D$1:$AA$208,(MATCH(L26,alles!$C$1:$C$208,0)),0))+(IF(M26="",0,(HLOOKUP(CONCATENATE($G$23,-2),alles!$D$1:$AA$208,(MATCH(M26,alles!$C$1:$C$208,0)),0))+(IF(N26="",0,HLOOKUP(CONCATENATE($G$23,-2),alles!$D$1:$AA$208,(MATCH(N26,alles!$C$1:$C$208,0)),0)))+(IF(O26="",0,HLOOKUP(CONCATENATE($G$23,-2),alles!$D$1:$AA$208,(MATCH(O26,alles!$C$1:$C$208,0)),0)))+(IF(P26="",0,HLOOKUP(CONCATENATE($G$23,-2),alles!$D$1:$AA$208,(MATCH(P26,alles!$C$1:$C$208,0)),0))+(IF(Q26="",0,(HLOOKUP(CONCATENATE($G$23,-2),alles!$D$1:$AA$208,(MATCH(Q26,alles!$C$1:$C$208,0)),0)))))))</f>
        <v>49776.2</v>
      </c>
      <c r="I26" s="242">
        <f>(HLOOKUP(CONCATENATE($I$23,-1),alles!$D$1:$AA$208,(MATCH(L26,alles!$C$1:$C$208,0)),0))+(IF(M26="",0,(HLOOKUP(CONCATENATE($I$23,-1),alles!$D$1:$AA$208,(MATCH(M26,alles!$C$1:$C$208,0)),0))+(IF(N26="",0,HLOOKUP(CONCATENATE($I$23,-1),alles!$D$1:$AA$208,(MATCH(N26,alles!$C$1:$C$208,0)),0)))+(IF(O26="",0,HLOOKUP(CONCATENATE($I$23,-1),alles!$D$1:$AA$208,(MATCH(O26,alles!$C$1:$C$208,0)),0)))+(IF(P26="",0,HLOOKUP(CONCATENATE($I$23,-1),alles!$D$1:$AA$208,(MATCH(P26,alles!$C$1:$C$208,0)),0))+(IF(Q26="",0,(HLOOKUP(CONCATENATE($I$23,-1),alles!$D$1:$AA$208,(MATCH(Q26,alles!$C$1:$C$208,0)),0)))))))</f>
        <v>56469.5</v>
      </c>
      <c r="J26" s="242">
        <f>(HLOOKUP(CONCATENATE($I$23,-2),alles!$D$1:$AA$208,(MATCH(L26,alles!$C$1:$C$208,0)),0))+(IF(M26="",0,(HLOOKUP(CONCATENATE($I$23,-2),alles!$D$1:$AA$208,(MATCH(M26,alles!$C$1:$C$208,0)),0))+(IF(N26="",0,HLOOKUP(CONCATENATE($I$23,-2),alles!$D$1:$AA$208,(MATCH(N26,alles!$C$1:$C$208,0)),0)))+(IF(O26="",0,HLOOKUP(CONCATENATE($I$23,-2),alles!$D$1:$AA$208,(MATCH(O26,alles!$C$1:$C$208,0)),0)))+(IF(P26="",0,HLOOKUP(CONCATENATE($I$23,-2),alles!$D$1:$AA$208,(MATCH(P26,alles!$C$1:$C$208,0)),0))+(IF(Q26="",0,(HLOOKUP(CONCATENATE($I$23,-2),alles!$D$1:$AA$208,(MATCH(Q26,alles!$C$1:$C$208,0)),0)))))))</f>
        <v>56469.5</v>
      </c>
      <c r="L26" t="s">
        <v>408</v>
      </c>
    </row>
    <row r="27" spans="1:12" x14ac:dyDescent="0.2">
      <c r="A27" s="247" t="s">
        <v>560</v>
      </c>
      <c r="B27" s="248" t="s">
        <v>21</v>
      </c>
      <c r="C27" s="398">
        <f>(HLOOKUP(CONCATENATE($C$23,-1),alles!$D$1:$AA$208,(MATCH(L27,alles!$C$1:$C$208,0)),0))+(IF(M27="",0,(HLOOKUP(CONCATENATE($C$23,-1),alles!$D$1:$AA$208,(MATCH(M27,alles!$C$1:$C$208,0)),0))+(IF(N27="",0,HLOOKUP(CONCATENATE($C$23,-1),alles!$D$1:$AA$208,(MATCH(N27,alles!$C$1:$C$208,0)),0)))+(IF(O27="",0,HLOOKUP(CONCATENATE($C$23,-1),alles!$D$1:$AA$208,(MATCH(O27,alles!$C$1:$C$208,0)),0)))+(IF(P27="",0,HLOOKUP(CONCATENATE($C$23,-1),alles!$D$1:$AA$208,(MATCH(P27,alles!$C$1:$C$208,0)),0))+(IF(Q27="",0,(HLOOKUP(CONCATENATE($C$23,-1),alles!$D$1:$AA$208,(MATCH(Q27,alles!$C$1:$C$208,0)),0)))))))</f>
        <v>100110.65</v>
      </c>
      <c r="D27" s="399">
        <f>(HLOOKUP(CONCATENATE($C$23,-2),alles!$D$1:$AA$208,(MATCH(L27,alles!$C$1:$C$208,0)),0))+(IF(M27="",0,(HLOOKUP(CONCATENATE($C$23,-2),alles!$D$1:$AA$208,(MATCH(M27,alles!$C$1:$C$208,0)),0))+(IF(N27="",0,HLOOKUP(CONCATENATE($C$23,-2),alles!$D$1:$AA$208,(MATCH(N27,alles!$C$1:$C$208,0)),0)))+(IF(O27="",0,HLOOKUP(CONCATENATE($C$23,-2),alles!$D$1:$AA$208,(MATCH(O27,alles!$C$1:$C$208,0)),0)))+(IF(P27="",0,HLOOKUP(CONCATENATE($C$23,-2),alles!$D$1:$AA$208,(MATCH(P27,alles!$C$1:$C$208,0)),0))+(IF(Q27="",0,(HLOOKUP(CONCATENATE($C$23,-2),alles!$D$1:$AA$208,(MATCH(Q27,alles!$C$1:$C$208,0)),0)))))))</f>
        <v>100110.65</v>
      </c>
      <c r="E27" s="394">
        <f>(HLOOKUP(CONCATENATE($E$23,-1),alles!$D$1:$AA$208,(MATCH(L27,alles!$C$1:$C$208,0)),0))+(IF(M27="",0,(HLOOKUP(CONCATENATE($E$23,-1),alles!$D$1:$AA$208,(MATCH(M27,alles!$C$1:$C$208,0)),0))+(IF(N27="",0,HLOOKUP(CONCATENATE($E$23,-1),alles!$D$1:$AA$208,(MATCH(N27,alles!$C$1:$C$208,0)),0)))+(IF(O27="",0,HLOOKUP(CONCATENATE($E$23,-1),alles!$D$1:$AA$208,(MATCH(O27,alles!$C$1:$C$208,0)),0)))+(IF(P27="",0,HLOOKUP(CONCATENATE($E$23,-1),alles!$D$1:$AA$208,(MATCH(P27,alles!$C$1:$C$208,0)),0))+(IF(Q27="",0,(HLOOKUP(CONCATENATE($E$23,-1),alles!$D$1:$AA$208,(MATCH(Q27,alles!$C$1:$C$208,0)),0)))))))</f>
        <v>91840.4</v>
      </c>
      <c r="F27" s="242">
        <f>(HLOOKUP(CONCATENATE($E$23,-2),alles!$D$1:$AA$208,(MATCH(L27,alles!$C$1:$C$208,0)),0))+(IF(M27="",0,(HLOOKUP(CONCATENATE($E$23,-2),alles!$D$1:$AA$208,(MATCH(M27,alles!$C$1:$C$208,0)),0))+(IF(N27="",0,HLOOKUP(CONCATENATE($E$23,-2),alles!$D$1:$AA$208,(MATCH(N27,alles!$C$1:$C$208,0)),0)))+(IF(O27="",0,HLOOKUP(CONCATENATE($E$23,-2),alles!$D$1:$AA$208,(MATCH(O27,alles!$C$1:$C$208,0)),0)))+(IF(P27="",0,HLOOKUP(CONCATENATE($E$23,-2),alles!$D$1:$AA$208,(MATCH(P27,alles!$C$1:$C$208,0)),0))+(IF(Q27="",0,(HLOOKUP(CONCATENATE($E$23,-2),alles!$D$1:$AA$208,(MATCH(Q27,alles!$C$1:$C$208,0)),0)))))))</f>
        <v>91840.4</v>
      </c>
      <c r="G27" s="242">
        <f>(HLOOKUP(CONCATENATE($G$23,-1),alles!$D$1:$AA$208,(MATCH(L27,alles!$C$1:$C$208,0)),0))+(IF(M27="",0,(HLOOKUP(CONCATENATE($G$23,-1),alles!$D$1:$AA$208,(MATCH(M27,alles!$C$1:$C$208,0)),0))+(IF(N27="",0,HLOOKUP(CONCATENATE($G$23,-1),alles!$D$1:$AA$208,(MATCH(N27,alles!$C$1:$C$208,0)),0)))+(IF(O27="",0,HLOOKUP(CONCATENATE($G$23,-1),alles!$D$1:$AA$208,(MATCH(O27,alles!$C$1:$C$208,0)),0)))+(IF(P27="",0,HLOOKUP(CONCATENATE($G$23,-1),alles!$D$1:$AA$208,(MATCH(P27,alles!$C$1:$C$208,0)),0))+(IF(Q27="",0,(HLOOKUP(CONCATENATE($G$23,-1),alles!$D$1:$AA$208,(MATCH(Q27,alles!$C$1:$C$208,0)),0)))))))</f>
        <v>98371.4</v>
      </c>
      <c r="H27" s="242">
        <f>(HLOOKUP(CONCATENATE($G$23,-2),alles!$D$1:$AA$208,(MATCH(L27,alles!$C$1:$C$208,0)),0))+(IF(M27="",0,(HLOOKUP(CONCATENATE($G$23,-2),alles!$D$1:$AA$208,(MATCH(M27,alles!$C$1:$C$208,0)),0))+(IF(N27="",0,HLOOKUP(CONCATENATE($G$23,-2),alles!$D$1:$AA$208,(MATCH(N27,alles!$C$1:$C$208,0)),0)))+(IF(O27="",0,HLOOKUP(CONCATENATE($G$23,-2),alles!$D$1:$AA$208,(MATCH(O27,alles!$C$1:$C$208,0)),0)))+(IF(P27="",0,HLOOKUP(CONCATENATE($G$23,-2),alles!$D$1:$AA$208,(MATCH(P27,alles!$C$1:$C$208,0)),0))+(IF(Q27="",0,(HLOOKUP(CONCATENATE($G$23,-2),alles!$D$1:$AA$208,(MATCH(Q27,alles!$C$1:$C$208,0)),0)))))))</f>
        <v>98371.4</v>
      </c>
      <c r="I27" s="242">
        <f>(HLOOKUP(CONCATENATE($I$23,-1),alles!$D$1:$AA$208,(MATCH(L27,alles!$C$1:$C$208,0)),0))+(IF(M27="",0,(HLOOKUP(CONCATENATE($I$23,-1),alles!$D$1:$AA$208,(MATCH(M27,alles!$C$1:$C$208,0)),0))+(IF(N27="",0,HLOOKUP(CONCATENATE($I$23,-1),alles!$D$1:$AA$208,(MATCH(N27,alles!$C$1:$C$208,0)),0)))+(IF(O27="",0,HLOOKUP(CONCATENATE($I$23,-1),alles!$D$1:$AA$208,(MATCH(O27,alles!$C$1:$C$208,0)),0)))+(IF(P27="",0,HLOOKUP(CONCATENATE($I$23,-1),alles!$D$1:$AA$208,(MATCH(P27,alles!$C$1:$C$208,0)),0))+(IF(Q27="",0,(HLOOKUP(CONCATENATE($I$23,-1),alles!$D$1:$AA$208,(MATCH(Q27,alles!$C$1:$C$208,0)),0)))))))</f>
        <v>107980.6</v>
      </c>
      <c r="J27" s="242">
        <f>(HLOOKUP(CONCATENATE($I$23,-2),alles!$D$1:$AA$208,(MATCH(L27,alles!$C$1:$C$208,0)),0))+(IF(M27="",0,(HLOOKUP(CONCATENATE($I$23,-2),alles!$D$1:$AA$208,(MATCH(M27,alles!$C$1:$C$208,0)),0))+(IF(N27="",0,HLOOKUP(CONCATENATE($I$23,-2),alles!$D$1:$AA$208,(MATCH(N27,alles!$C$1:$C$208,0)),0)))+(IF(O27="",0,HLOOKUP(CONCATENATE($I$23,-2),alles!$D$1:$AA$208,(MATCH(O27,alles!$C$1:$C$208,0)),0)))+(IF(P27="",0,HLOOKUP(CONCATENATE($I$23,-2),alles!$D$1:$AA$208,(MATCH(P27,alles!$C$1:$C$208,0)),0))+(IF(Q27="",0,(HLOOKUP(CONCATENATE($I$23,-2),alles!$D$1:$AA$208,(MATCH(Q27,alles!$C$1:$C$208,0)),0)))))))</f>
        <v>107980.6</v>
      </c>
      <c r="L27" t="s">
        <v>409</v>
      </c>
    </row>
    <row r="28" spans="1:12" x14ac:dyDescent="0.2">
      <c r="A28" s="247" t="s">
        <v>561</v>
      </c>
      <c r="B28" s="248" t="s">
        <v>21</v>
      </c>
      <c r="C28" s="398">
        <f>(HLOOKUP(CONCATENATE($C$23,-1),alles!$D$1:$AA$208,(MATCH(L28,alles!$C$1:$C$208,0)),0))+(IF(M28="",0,(HLOOKUP(CONCATENATE($C$23,-1),alles!$D$1:$AA$208,(MATCH(M28,alles!$C$1:$C$208,0)),0))+(IF(N28="",0,HLOOKUP(CONCATENATE($C$23,-1),alles!$D$1:$AA$208,(MATCH(N28,alles!$C$1:$C$208,0)),0)))+(IF(O28="",0,HLOOKUP(CONCATENATE($C$23,-1),alles!$D$1:$AA$208,(MATCH(O28,alles!$C$1:$C$208,0)),0)))+(IF(P28="",0,HLOOKUP(CONCATENATE($C$23,-1),alles!$D$1:$AA$208,(MATCH(P28,alles!$C$1:$C$208,0)),0))+(IF(Q28="",0,(HLOOKUP(CONCATENATE($C$23,-1),alles!$D$1:$AA$208,(MATCH(Q28,alles!$C$1:$C$208,0)),0)))))))</f>
        <v>86949.2</v>
      </c>
      <c r="D28" s="399">
        <f>(HLOOKUP(CONCATENATE($C$23,-2),alles!$D$1:$AA$208,(MATCH(L28,alles!$C$1:$C$208,0)),0))+(IF(M28="",0,(HLOOKUP(CONCATENATE($C$23,-2),alles!$D$1:$AA$208,(MATCH(M28,alles!$C$1:$C$208,0)),0))+(IF(N28="",0,HLOOKUP(CONCATENATE($C$23,-2),alles!$D$1:$AA$208,(MATCH(N28,alles!$C$1:$C$208,0)),0)))+(IF(O28="",0,HLOOKUP(CONCATENATE($C$23,-2),alles!$D$1:$AA$208,(MATCH(O28,alles!$C$1:$C$208,0)),0)))+(IF(P28="",0,HLOOKUP(CONCATENATE($C$23,-2),alles!$D$1:$AA$208,(MATCH(P28,alles!$C$1:$C$208,0)),0))+(IF(Q28="",0,(HLOOKUP(CONCATENATE($C$23,-2),alles!$D$1:$AA$208,(MATCH(Q28,alles!$C$1:$C$208,0)),0)))))))</f>
        <v>68160.600000000006</v>
      </c>
      <c r="E28" s="394">
        <f>(HLOOKUP(CONCATENATE($E$23,-1),alles!$D$1:$AA$208,(MATCH(L28,alles!$C$1:$C$208,0)),0))+(IF(M28="",0,(HLOOKUP(CONCATENATE($E$23,-1),alles!$D$1:$AA$208,(MATCH(M28,alles!$C$1:$C$208,0)),0))+(IF(N28="",0,HLOOKUP(CONCATENATE($E$23,-1),alles!$D$1:$AA$208,(MATCH(N28,alles!$C$1:$C$208,0)),0)))+(IF(O28="",0,HLOOKUP(CONCATENATE($E$23,-1),alles!$D$1:$AA$208,(MATCH(O28,alles!$C$1:$C$208,0)),0)))+(IF(P28="",0,HLOOKUP(CONCATENATE($E$23,-1),alles!$D$1:$AA$208,(MATCH(P28,alles!$C$1:$C$208,0)),0))+(IF(Q28="",0,(HLOOKUP(CONCATENATE($E$23,-1),alles!$D$1:$AA$208,(MATCH(Q28,alles!$C$1:$C$208,0)),0)))))))</f>
        <v>68565.649999999994</v>
      </c>
      <c r="F28" s="242">
        <f>(HLOOKUP(CONCATENATE($E$23,-2),alles!$D$1:$AA$208,(MATCH(L28,alles!$C$1:$C$208,0)),0))+(IF(M28="",0,(HLOOKUP(CONCATENATE($E$23,-2),alles!$D$1:$AA$208,(MATCH(M28,alles!$C$1:$C$208,0)),0))+(IF(N28="",0,HLOOKUP(CONCATENATE($E$23,-2),alles!$D$1:$AA$208,(MATCH(N28,alles!$C$1:$C$208,0)),0)))+(IF(O28="",0,HLOOKUP(CONCATENATE($E$23,-2),alles!$D$1:$AA$208,(MATCH(O28,alles!$C$1:$C$208,0)),0)))+(IF(P28="",0,HLOOKUP(CONCATENATE($E$23,-2),alles!$D$1:$AA$208,(MATCH(P28,alles!$C$1:$C$208,0)),0))+(IF(Q28="",0,(HLOOKUP(CONCATENATE($E$23,-2),alles!$D$1:$AA$208,(MATCH(Q28,alles!$C$1:$C$208,0)),0)))))))</f>
        <v>74742.649999999994</v>
      </c>
      <c r="G28" s="242">
        <f>(HLOOKUP(CONCATENATE($G$23,-1),alles!$D$1:$AA$208,(MATCH(L28,alles!$C$1:$C$208,0)),0))+(IF(M28="",0,(HLOOKUP(CONCATENATE($G$23,-1),alles!$D$1:$AA$208,(MATCH(M28,alles!$C$1:$C$208,0)),0))+(IF(N28="",0,HLOOKUP(CONCATENATE($G$23,-1),alles!$D$1:$AA$208,(MATCH(N28,alles!$C$1:$C$208,0)),0)))+(IF(O28="",0,HLOOKUP(CONCATENATE($G$23,-1),alles!$D$1:$AA$208,(MATCH(O28,alles!$C$1:$C$208,0)),0)))+(IF(P28="",0,HLOOKUP(CONCATENATE($G$23,-1),alles!$D$1:$AA$208,(MATCH(P28,alles!$C$1:$C$208,0)),0))+(IF(Q28="",0,(HLOOKUP(CONCATENATE($G$23,-1),alles!$D$1:$AA$208,(MATCH(Q28,alles!$C$1:$C$208,0)),0)))))))</f>
        <v>65585.8</v>
      </c>
      <c r="H28" s="242">
        <f>(HLOOKUP(CONCATENATE($G$23,-2),alles!$D$1:$AA$208,(MATCH(L28,alles!$C$1:$C$208,0)),0))+(IF(M28="",0,(HLOOKUP(CONCATENATE($G$23,-2),alles!$D$1:$AA$208,(MATCH(M28,alles!$C$1:$C$208,0)),0))+(IF(N28="",0,HLOOKUP(CONCATENATE($G$23,-2),alles!$D$1:$AA$208,(MATCH(N28,alles!$C$1:$C$208,0)),0)))+(IF(O28="",0,HLOOKUP(CONCATENATE($G$23,-2),alles!$D$1:$AA$208,(MATCH(O28,alles!$C$1:$C$208,0)),0)))+(IF(P28="",0,HLOOKUP(CONCATENATE($G$23,-2),alles!$D$1:$AA$208,(MATCH(P28,alles!$C$1:$C$208,0)),0))+(IF(Q28="",0,(HLOOKUP(CONCATENATE($G$23,-2),alles!$D$1:$AA$208,(MATCH(Q28,alles!$C$1:$C$208,0)),0)))))))</f>
        <v>52240.900000000009</v>
      </c>
      <c r="I28" s="242">
        <f>(HLOOKUP(CONCATENATE($I$23,-1),alles!$D$1:$AA$208,(MATCH(L28,alles!$C$1:$C$208,0)),0))+(IF(M28="",0,(HLOOKUP(CONCATENATE($I$23,-1),alles!$D$1:$AA$208,(MATCH(M28,alles!$C$1:$C$208,0)),0))+(IF(N28="",0,HLOOKUP(CONCATENATE($I$23,-1),alles!$D$1:$AA$208,(MATCH(N28,alles!$C$1:$C$208,0)),0)))+(IF(O28="",0,HLOOKUP(CONCATENATE($I$23,-1),alles!$D$1:$AA$208,(MATCH(O28,alles!$C$1:$C$208,0)),0)))+(IF(P28="",0,HLOOKUP(CONCATENATE($I$23,-1),alles!$D$1:$AA$208,(MATCH(P28,alles!$C$1:$C$208,0)),0))+(IF(Q28="",0,(HLOOKUP(CONCATENATE($I$23,-1),alles!$D$1:$AA$208,(MATCH(Q28,alles!$C$1:$C$208,0)),0)))))))</f>
        <v>95441.299999999988</v>
      </c>
      <c r="J28" s="242">
        <f>(HLOOKUP(CONCATENATE($I$23,-2),alles!$D$1:$AA$208,(MATCH(L28,alles!$C$1:$C$208,0)),0))+(IF(M28="",0,(HLOOKUP(CONCATENATE($I$23,-2),alles!$D$1:$AA$208,(MATCH(M28,alles!$C$1:$C$208,0)),0))+(IF(N28="",0,HLOOKUP(CONCATENATE($I$23,-2),alles!$D$1:$AA$208,(MATCH(N28,alles!$C$1:$C$208,0)),0)))+(IF(O28="",0,HLOOKUP(CONCATENATE($I$23,-2),alles!$D$1:$AA$208,(MATCH(O28,alles!$C$1:$C$208,0)),0)))+(IF(P28="",0,HLOOKUP(CONCATENATE($I$23,-2),alles!$D$1:$AA$208,(MATCH(P28,alles!$C$1:$C$208,0)),0))+(IF(Q28="",0,(HLOOKUP(CONCATENATE($I$23,-2),alles!$D$1:$AA$208,(MATCH(Q28,alles!$C$1:$C$208,0)),0)))))))</f>
        <v>97261.699999999983</v>
      </c>
      <c r="L28" t="s">
        <v>410</v>
      </c>
    </row>
    <row r="29" spans="1:12" x14ac:dyDescent="0.2">
      <c r="A29" s="247" t="s">
        <v>15</v>
      </c>
      <c r="B29" s="248" t="s">
        <v>21</v>
      </c>
      <c r="C29" s="398">
        <f>(HLOOKUP(CONCATENATE($C$23,-1),alles!$D$1:$AA$208,(MATCH(L29,alles!$C$1:$C$208,0)),0))+(IF(M29="",0,(HLOOKUP(CONCATENATE($C$23,-1),alles!$D$1:$AA$208,(MATCH(M29,alles!$C$1:$C$208,0)),0))+(IF(N29="",0,HLOOKUP(CONCATENATE($C$23,-1),alles!$D$1:$AA$208,(MATCH(N29,alles!$C$1:$C$208,0)),0)))+(IF(O29="",0,HLOOKUP(CONCATENATE($C$23,-1),alles!$D$1:$AA$208,(MATCH(O29,alles!$C$1:$C$208,0)),0)))+(IF(P29="",0,HLOOKUP(CONCATENATE($C$23,-1),alles!$D$1:$AA$208,(MATCH(P29,alles!$C$1:$C$208,0)),0))+(IF(Q29="",0,(HLOOKUP(CONCATENATE($C$23,-1),alles!$D$1:$AA$208,(MATCH(Q29,alles!$C$1:$C$208,0)),0)))))))</f>
        <v>0</v>
      </c>
      <c r="D29" s="399">
        <f>(HLOOKUP(CONCATENATE($C$23,-2),alles!$D$1:$AA$208,(MATCH(L29,alles!$C$1:$C$208,0)),0))+(IF(M29="",0,(HLOOKUP(CONCATENATE($C$23,-2),alles!$D$1:$AA$208,(MATCH(M29,alles!$C$1:$C$208,0)),0))+(IF(N29="",0,HLOOKUP(CONCATENATE($C$23,-2),alles!$D$1:$AA$208,(MATCH(N29,alles!$C$1:$C$208,0)),0)))+(IF(O29="",0,HLOOKUP(CONCATENATE($C$23,-2),alles!$D$1:$AA$208,(MATCH(O29,alles!$C$1:$C$208,0)),0)))+(IF(P29="",0,HLOOKUP(CONCATENATE($C$23,-2),alles!$D$1:$AA$208,(MATCH(P29,alles!$C$1:$C$208,0)),0))+(IF(Q29="",0,(HLOOKUP(CONCATENATE($C$23,-2),alles!$D$1:$AA$208,(MATCH(Q29,alles!$C$1:$C$208,0)),0)))))))</f>
        <v>0</v>
      </c>
      <c r="E29" s="394">
        <f>(HLOOKUP(CONCATENATE($E$23,-1),alles!$D$1:$AA$208,(MATCH(L29,alles!$C$1:$C$208,0)),0))+(IF(M29="",0,(HLOOKUP(CONCATENATE($E$23,-1),alles!$D$1:$AA$208,(MATCH(M29,alles!$C$1:$C$208,0)),0))+(IF(N29="",0,HLOOKUP(CONCATENATE($E$23,-1),alles!$D$1:$AA$208,(MATCH(N29,alles!$C$1:$C$208,0)),0)))+(IF(O29="",0,HLOOKUP(CONCATENATE($E$23,-1),alles!$D$1:$AA$208,(MATCH(O29,alles!$C$1:$C$208,0)),0)))+(IF(P29="",0,HLOOKUP(CONCATENATE($E$23,-1),alles!$D$1:$AA$208,(MATCH(P29,alles!$C$1:$C$208,0)),0))+(IF(Q29="",0,(HLOOKUP(CONCATENATE($E$23,-1),alles!$D$1:$AA$208,(MATCH(Q29,alles!$C$1:$C$208,0)),0)))))))</f>
        <v>0</v>
      </c>
      <c r="F29" s="242">
        <f>(HLOOKUP(CONCATENATE($E$23,-2),alles!$D$1:$AA$208,(MATCH(L29,alles!$C$1:$C$208,0)),0))+(IF(M29="",0,(HLOOKUP(CONCATENATE($E$23,-2),alles!$D$1:$AA$208,(MATCH(M29,alles!$C$1:$C$208,0)),0))+(IF(N29="",0,HLOOKUP(CONCATENATE($E$23,-2),alles!$D$1:$AA$208,(MATCH(N29,alles!$C$1:$C$208,0)),0)))+(IF(O29="",0,HLOOKUP(CONCATENATE($E$23,-2),alles!$D$1:$AA$208,(MATCH(O29,alles!$C$1:$C$208,0)),0)))+(IF(P29="",0,HLOOKUP(CONCATENATE($E$23,-2),alles!$D$1:$AA$208,(MATCH(P29,alles!$C$1:$C$208,0)),0))+(IF(Q29="",0,(HLOOKUP(CONCATENATE($E$23,-2),alles!$D$1:$AA$208,(MATCH(Q29,alles!$C$1:$C$208,0)),0)))))))</f>
        <v>0</v>
      </c>
      <c r="G29" s="242">
        <f>(HLOOKUP(CONCATENATE($G$23,-1),alles!$D$1:$AA$208,(MATCH(L29,alles!$C$1:$C$208,0)),0))+(IF(M29="",0,(HLOOKUP(CONCATENATE($G$23,-1),alles!$D$1:$AA$208,(MATCH(M29,alles!$C$1:$C$208,0)),0))+(IF(N29="",0,HLOOKUP(CONCATENATE($G$23,-1),alles!$D$1:$AA$208,(MATCH(N29,alles!$C$1:$C$208,0)),0)))+(IF(O29="",0,HLOOKUP(CONCATENATE($G$23,-1),alles!$D$1:$AA$208,(MATCH(O29,alles!$C$1:$C$208,0)),0)))+(IF(P29="",0,HLOOKUP(CONCATENATE($G$23,-1),alles!$D$1:$AA$208,(MATCH(P29,alles!$C$1:$C$208,0)),0))+(IF(Q29="",0,(HLOOKUP(CONCATENATE($G$23,-1),alles!$D$1:$AA$208,(MATCH(Q29,alles!$C$1:$C$208,0)),0)))))))</f>
        <v>0</v>
      </c>
      <c r="H29" s="242">
        <f>(HLOOKUP(CONCATENATE($G$23,-2),alles!$D$1:$AA$208,(MATCH(L29,alles!$C$1:$C$208,0)),0))+(IF(M29="",0,(HLOOKUP(CONCATENATE($G$23,-2),alles!$D$1:$AA$208,(MATCH(M29,alles!$C$1:$C$208,0)),0))+(IF(N29="",0,HLOOKUP(CONCATENATE($G$23,-2),alles!$D$1:$AA$208,(MATCH(N29,alles!$C$1:$C$208,0)),0)))+(IF(O29="",0,HLOOKUP(CONCATENATE($G$23,-2),alles!$D$1:$AA$208,(MATCH(O29,alles!$C$1:$C$208,0)),0)))+(IF(P29="",0,HLOOKUP(CONCATENATE($G$23,-2),alles!$D$1:$AA$208,(MATCH(P29,alles!$C$1:$C$208,0)),0))+(IF(Q29="",0,(HLOOKUP(CONCATENATE($G$23,-2),alles!$D$1:$AA$208,(MATCH(Q29,alles!$C$1:$C$208,0)),0)))))))</f>
        <v>0</v>
      </c>
      <c r="I29" s="242">
        <f>(HLOOKUP(CONCATENATE($I$23,-1),alles!$D$1:$AA$208,(MATCH(L29,alles!$C$1:$C$208,0)),0))+(IF(M29="",0,(HLOOKUP(CONCATENATE($I$23,-1),alles!$D$1:$AA$208,(MATCH(M29,alles!$C$1:$C$208,0)),0))+(IF(N29="",0,HLOOKUP(CONCATENATE($I$23,-1),alles!$D$1:$AA$208,(MATCH(N29,alles!$C$1:$C$208,0)),0)))+(IF(O29="",0,HLOOKUP(CONCATENATE($I$23,-1),alles!$D$1:$AA$208,(MATCH(O29,alles!$C$1:$C$208,0)),0)))+(IF(P29="",0,HLOOKUP(CONCATENATE($I$23,-1),alles!$D$1:$AA$208,(MATCH(P29,alles!$C$1:$C$208,0)),0))+(IF(Q29="",0,(HLOOKUP(CONCATENATE($I$23,-1),alles!$D$1:$AA$208,(MATCH(Q29,alles!$C$1:$C$208,0)),0)))))))</f>
        <v>0</v>
      </c>
      <c r="J29" s="242">
        <f>(HLOOKUP(CONCATENATE($I$23,-2),alles!$D$1:$AA$208,(MATCH(L29,alles!$C$1:$C$208,0)),0))+(IF(M29="",0,(HLOOKUP(CONCATENATE($I$23,-2),alles!$D$1:$AA$208,(MATCH(M29,alles!$C$1:$C$208,0)),0))+(IF(N29="",0,HLOOKUP(CONCATENATE($I$23,-2),alles!$D$1:$AA$208,(MATCH(N29,alles!$C$1:$C$208,0)),0)))+(IF(O29="",0,HLOOKUP(CONCATENATE($I$23,-2),alles!$D$1:$AA$208,(MATCH(O29,alles!$C$1:$C$208,0)),0)))+(IF(P29="",0,HLOOKUP(CONCATENATE($I$23,-2),alles!$D$1:$AA$208,(MATCH(P29,alles!$C$1:$C$208,0)),0))+(IF(Q29="",0,(HLOOKUP(CONCATENATE($I$23,-2),alles!$D$1:$AA$208,(MATCH(Q29,alles!$C$1:$C$208,0)),0)))))))</f>
        <v>0</v>
      </c>
      <c r="L29" t="s">
        <v>405</v>
      </c>
    </row>
    <row r="30" spans="1:12" x14ac:dyDescent="0.2">
      <c r="A30" s="243" t="s">
        <v>16</v>
      </c>
      <c r="B30" s="237" t="s">
        <v>21</v>
      </c>
      <c r="C30" s="398">
        <f>(HLOOKUP(CONCATENATE($C$23,-1),alles!$D$1:$AA$208,(MATCH(L30,alles!$C$1:$C$208,0)),0))+(IF(M30="",0,(HLOOKUP(CONCATENATE($C$23,-1),alles!$D$1:$AA$208,(MATCH(M30,alles!$C$1:$C$208,0)),0))+(IF(N30="",0,HLOOKUP(CONCATENATE($C$23,-1),alles!$D$1:$AA$208,(MATCH(N30,alles!$C$1:$C$208,0)),0)))+(IF(O30="",0,HLOOKUP(CONCATENATE($C$23,-1),alles!$D$1:$AA$208,(MATCH(O30,alles!$C$1:$C$208,0)),0)))+(IF(P30="",0,HLOOKUP(CONCATENATE($C$23,-1),alles!$D$1:$AA$208,(MATCH(P30,alles!$C$1:$C$208,0)),0))+(IF(Q30="",0,(HLOOKUP(CONCATENATE($C$23,-1),alles!$D$1:$AA$208,(MATCH(Q30,alles!$C$1:$C$208,0)),0)))))))</f>
        <v>0</v>
      </c>
      <c r="D30" s="399">
        <f>(HLOOKUP(CONCATENATE($C$23,-2),alles!$D$1:$AA$208,(MATCH(L30,alles!$C$1:$C$208,0)),0))+(IF(M30="",0,(HLOOKUP(CONCATENATE($C$23,-2),alles!$D$1:$AA$208,(MATCH(M30,alles!$C$1:$C$208,0)),0))+(IF(N30="",0,HLOOKUP(CONCATENATE($C$23,-2),alles!$D$1:$AA$208,(MATCH(N30,alles!$C$1:$C$208,0)),0)))+(IF(O30="",0,HLOOKUP(CONCATENATE($C$23,-2),alles!$D$1:$AA$208,(MATCH(O30,alles!$C$1:$C$208,0)),0)))+(IF(P30="",0,HLOOKUP(CONCATENATE($C$23,-2),alles!$D$1:$AA$208,(MATCH(P30,alles!$C$1:$C$208,0)),0))+(IF(Q30="",0,(HLOOKUP(CONCATENATE($C$23,-2),alles!$D$1:$AA$208,(MATCH(Q30,alles!$C$1:$C$208,0)),0)))))))</f>
        <v>0</v>
      </c>
      <c r="E30" s="394">
        <f>(HLOOKUP(CONCATENATE($E$23,-1),alles!$D$1:$AA$208,(MATCH(L30,alles!$C$1:$C$208,0)),0))+(IF(M30="",0,(HLOOKUP(CONCATENATE($E$23,-1),alles!$D$1:$AA$208,(MATCH(M30,alles!$C$1:$C$208,0)),0))+(IF(N30="",0,HLOOKUP(CONCATENATE($E$23,-1),alles!$D$1:$AA$208,(MATCH(N30,alles!$C$1:$C$208,0)),0)))+(IF(O30="",0,HLOOKUP(CONCATENATE($E$23,-1),alles!$D$1:$AA$208,(MATCH(O30,alles!$C$1:$C$208,0)),0)))+(IF(P30="",0,HLOOKUP(CONCATENATE($E$23,-1),alles!$D$1:$AA$208,(MATCH(P30,alles!$C$1:$C$208,0)),0))+(IF(Q30="",0,(HLOOKUP(CONCATENATE($E$23,-1),alles!$D$1:$AA$208,(MATCH(Q30,alles!$C$1:$C$208,0)),0)))))))</f>
        <v>0</v>
      </c>
      <c r="F30" s="242">
        <f>(HLOOKUP(CONCATENATE($E$23,-2),alles!$D$1:$AA$208,(MATCH(L30,alles!$C$1:$C$208,0)),0))+(IF(M30="",0,(HLOOKUP(CONCATENATE($E$23,-2),alles!$D$1:$AA$208,(MATCH(M30,alles!$C$1:$C$208,0)),0))+(IF(N30="",0,HLOOKUP(CONCATENATE($E$23,-2),alles!$D$1:$AA$208,(MATCH(N30,alles!$C$1:$C$208,0)),0)))+(IF(O30="",0,HLOOKUP(CONCATENATE($E$23,-2),alles!$D$1:$AA$208,(MATCH(O30,alles!$C$1:$C$208,0)),0)))+(IF(P30="",0,HLOOKUP(CONCATENATE($E$23,-2),alles!$D$1:$AA$208,(MATCH(P30,alles!$C$1:$C$208,0)),0))+(IF(Q30="",0,(HLOOKUP(CONCATENATE($E$23,-2),alles!$D$1:$AA$208,(MATCH(Q30,alles!$C$1:$C$208,0)),0)))))))</f>
        <v>0</v>
      </c>
      <c r="G30" s="242">
        <f>(HLOOKUP(CONCATENATE($G$23,-1),alles!$D$1:$AA$208,(MATCH(L30,alles!$C$1:$C$208,0)),0))+(IF(M30="",0,(HLOOKUP(CONCATENATE($G$23,-1),alles!$D$1:$AA$208,(MATCH(M30,alles!$C$1:$C$208,0)),0))+(IF(N30="",0,HLOOKUP(CONCATENATE($G$23,-1),alles!$D$1:$AA$208,(MATCH(N30,alles!$C$1:$C$208,0)),0)))+(IF(O30="",0,HLOOKUP(CONCATENATE($G$23,-1),alles!$D$1:$AA$208,(MATCH(O30,alles!$C$1:$C$208,0)),0)))+(IF(P30="",0,HLOOKUP(CONCATENATE($G$23,-1),alles!$D$1:$AA$208,(MATCH(P30,alles!$C$1:$C$208,0)),0))+(IF(Q30="",0,(HLOOKUP(CONCATENATE($G$23,-1),alles!$D$1:$AA$208,(MATCH(Q30,alles!$C$1:$C$208,0)),0)))))))</f>
        <v>0</v>
      </c>
      <c r="H30" s="242">
        <f>(HLOOKUP(CONCATENATE($G$23,-2),alles!$D$1:$AA$208,(MATCH(L30,alles!$C$1:$C$208,0)),0))+(IF(M30="",0,(HLOOKUP(CONCATENATE($G$23,-2),alles!$D$1:$AA$208,(MATCH(M30,alles!$C$1:$C$208,0)),0))+(IF(N30="",0,HLOOKUP(CONCATENATE($G$23,-2),alles!$D$1:$AA$208,(MATCH(N30,alles!$C$1:$C$208,0)),0)))+(IF(O30="",0,HLOOKUP(CONCATENATE($G$23,-2),alles!$D$1:$AA$208,(MATCH(O30,alles!$C$1:$C$208,0)),0)))+(IF(P30="",0,HLOOKUP(CONCATENATE($G$23,-2),alles!$D$1:$AA$208,(MATCH(P30,alles!$C$1:$C$208,0)),0))+(IF(Q30="",0,(HLOOKUP(CONCATENATE($G$23,-2),alles!$D$1:$AA$208,(MATCH(Q30,alles!$C$1:$C$208,0)),0)))))))</f>
        <v>0</v>
      </c>
      <c r="I30" s="242">
        <f>(HLOOKUP(CONCATENATE($I$23,-1),alles!$D$1:$AA$208,(MATCH(L30,alles!$C$1:$C$208,0)),0))+(IF(M30="",0,(HLOOKUP(CONCATENATE($I$23,-1),alles!$D$1:$AA$208,(MATCH(M30,alles!$C$1:$C$208,0)),0))+(IF(N30="",0,HLOOKUP(CONCATENATE($I$23,-1),alles!$D$1:$AA$208,(MATCH(N30,alles!$C$1:$C$208,0)),0)))+(IF(O30="",0,HLOOKUP(CONCATENATE($I$23,-1),alles!$D$1:$AA$208,(MATCH(O30,alles!$C$1:$C$208,0)),0)))+(IF(P30="",0,HLOOKUP(CONCATENATE($I$23,-1),alles!$D$1:$AA$208,(MATCH(P30,alles!$C$1:$C$208,0)),0))+(IF(Q30="",0,(HLOOKUP(CONCATENATE($I$23,-1),alles!$D$1:$AA$208,(MATCH(Q30,alles!$C$1:$C$208,0)),0)))))))</f>
        <v>0</v>
      </c>
      <c r="J30" s="242">
        <f>(HLOOKUP(CONCATENATE($I$23,-2),alles!$D$1:$AA$208,(MATCH(L30,alles!$C$1:$C$208,0)),0))+(IF(M30="",0,(HLOOKUP(CONCATENATE($I$23,-2),alles!$D$1:$AA$208,(MATCH(M30,alles!$C$1:$C$208,0)),0))+(IF(N30="",0,HLOOKUP(CONCATENATE($I$23,-2),alles!$D$1:$AA$208,(MATCH(N30,alles!$C$1:$C$208,0)),0)))+(IF(O30="",0,HLOOKUP(CONCATENATE($I$23,-2),alles!$D$1:$AA$208,(MATCH(O30,alles!$C$1:$C$208,0)),0)))+(IF(P30="",0,HLOOKUP(CONCATENATE($I$23,-2),alles!$D$1:$AA$208,(MATCH(P30,alles!$C$1:$C$208,0)),0))+(IF(Q30="",0,(HLOOKUP(CONCATENATE($I$23,-2),alles!$D$1:$AA$208,(MATCH(Q30,alles!$C$1:$C$208,0)),0)))))))</f>
        <v>0</v>
      </c>
      <c r="L30" t="s">
        <v>407</v>
      </c>
    </row>
    <row r="31" spans="1:12" ht="17" thickBot="1" x14ac:dyDescent="0.25">
      <c r="A31" s="244"/>
      <c r="B31" s="392" t="s">
        <v>31</v>
      </c>
      <c r="C31" s="400">
        <f t="shared" ref="C31:J31" si="1">SUM(C25:C30)</f>
        <v>282651.60000000003</v>
      </c>
      <c r="D31" s="401">
        <f t="shared" si="1"/>
        <v>255652.70000000004</v>
      </c>
      <c r="E31" s="395">
        <f t="shared" si="1"/>
        <v>264709.15000000002</v>
      </c>
      <c r="F31" s="246">
        <f t="shared" si="1"/>
        <v>280676</v>
      </c>
      <c r="G31" s="246">
        <f t="shared" si="1"/>
        <v>286510</v>
      </c>
      <c r="H31" s="246">
        <f t="shared" si="1"/>
        <v>282153.39999999997</v>
      </c>
      <c r="I31" s="246">
        <f t="shared" si="1"/>
        <v>310160.2</v>
      </c>
      <c r="J31" s="246">
        <f t="shared" si="1"/>
        <v>302410.69999999995</v>
      </c>
    </row>
    <row r="32" spans="1:12" ht="6" customHeight="1" x14ac:dyDescent="0.2">
      <c r="A32" s="234"/>
      <c r="B32" s="428"/>
      <c r="C32" s="429"/>
      <c r="D32" s="429"/>
      <c r="E32" s="429"/>
      <c r="F32" s="429"/>
      <c r="G32" s="429"/>
      <c r="H32" s="429"/>
      <c r="I32" s="429"/>
      <c r="J32" s="429"/>
    </row>
    <row r="33" spans="1:10" x14ac:dyDescent="0.2">
      <c r="A33" s="234"/>
      <c r="B33" s="428"/>
      <c r="C33" s="429"/>
      <c r="D33" s="429"/>
      <c r="E33" s="429"/>
      <c r="F33" s="429"/>
      <c r="G33" s="429"/>
      <c r="H33" s="429"/>
      <c r="I33" s="429"/>
      <c r="J33" s="429"/>
    </row>
    <row r="34" spans="1:10" x14ac:dyDescent="0.2">
      <c r="A34" s="234"/>
      <c r="B34" s="428"/>
      <c r="C34" s="429"/>
      <c r="D34" s="429"/>
      <c r="E34" s="429"/>
      <c r="F34" s="429"/>
      <c r="G34" s="429"/>
      <c r="H34" s="429"/>
      <c r="I34" s="429"/>
      <c r="J34" s="429"/>
    </row>
    <row r="35" spans="1:10" x14ac:dyDescent="0.2">
      <c r="A35" s="234"/>
      <c r="B35" s="428"/>
      <c r="C35" s="429"/>
      <c r="D35" s="429"/>
      <c r="E35" s="429"/>
      <c r="F35" s="429"/>
      <c r="G35" s="429"/>
      <c r="H35" s="429"/>
      <c r="I35" s="429"/>
      <c r="J35" s="429"/>
    </row>
    <row r="36" spans="1:10" x14ac:dyDescent="0.2">
      <c r="A36" s="234"/>
      <c r="B36" s="428"/>
      <c r="C36" s="429"/>
      <c r="D36" s="429"/>
      <c r="E36" s="429"/>
      <c r="F36" s="429"/>
      <c r="G36" s="429"/>
      <c r="H36" s="429"/>
      <c r="I36" s="429"/>
      <c r="J36" s="429"/>
    </row>
    <row r="37" spans="1:10" x14ac:dyDescent="0.2">
      <c r="A37" s="234"/>
      <c r="B37" s="428"/>
      <c r="C37" s="429"/>
      <c r="D37" s="429"/>
      <c r="E37" s="429"/>
      <c r="F37" s="429"/>
      <c r="G37" s="429"/>
      <c r="H37" s="429"/>
      <c r="I37" s="429"/>
      <c r="J37" s="429"/>
    </row>
    <row r="38" spans="1:10" x14ac:dyDescent="0.2">
      <c r="A38" s="234"/>
      <c r="B38" s="428"/>
      <c r="C38" s="429"/>
      <c r="D38" s="429"/>
      <c r="E38" s="429"/>
      <c r="F38" s="429"/>
      <c r="G38" s="429"/>
      <c r="H38" s="429"/>
      <c r="I38" s="429"/>
      <c r="J38" s="429"/>
    </row>
    <row r="39" spans="1:10" x14ac:dyDescent="0.2">
      <c r="A39" s="234"/>
      <c r="B39" s="428"/>
      <c r="C39" s="429"/>
      <c r="D39" s="429"/>
      <c r="E39" s="429"/>
      <c r="F39" s="429"/>
      <c r="G39" s="429"/>
      <c r="H39" s="429"/>
      <c r="I39" s="429"/>
      <c r="J39" s="429"/>
    </row>
    <row r="40" spans="1:10" x14ac:dyDescent="0.2">
      <c r="A40" s="234"/>
      <c r="B40" s="428"/>
      <c r="C40" s="429"/>
      <c r="D40" s="429"/>
      <c r="E40" s="429"/>
      <c r="F40" s="429"/>
      <c r="G40" s="429"/>
      <c r="H40" s="429"/>
      <c r="I40" s="429"/>
      <c r="J40" s="429"/>
    </row>
    <row r="41" spans="1:10" x14ac:dyDescent="0.2">
      <c r="A41" s="234"/>
      <c r="B41" s="428"/>
      <c r="C41" s="429"/>
      <c r="D41" s="429"/>
      <c r="E41" s="429"/>
      <c r="F41" s="429"/>
      <c r="G41" s="429"/>
      <c r="H41" s="429"/>
      <c r="I41" s="429"/>
      <c r="J41" s="429"/>
    </row>
    <row r="42" spans="1:10" x14ac:dyDescent="0.2">
      <c r="A42" s="234"/>
      <c r="B42" s="428"/>
      <c r="C42" s="429"/>
      <c r="D42" s="429"/>
      <c r="E42" s="429"/>
      <c r="F42" s="429"/>
      <c r="G42" s="429"/>
      <c r="H42" s="429"/>
      <c r="I42" s="429"/>
      <c r="J42" s="429"/>
    </row>
    <row r="43" spans="1:10" x14ac:dyDescent="0.2">
      <c r="A43" s="234"/>
      <c r="B43" s="428"/>
      <c r="C43" s="429"/>
      <c r="D43" s="429"/>
      <c r="E43" s="429"/>
      <c r="F43" s="429"/>
      <c r="G43" s="429"/>
      <c r="H43" s="429"/>
      <c r="I43" s="429"/>
      <c r="J43" s="429"/>
    </row>
    <row r="44" spans="1:10" x14ac:dyDescent="0.2">
      <c r="A44" s="234"/>
      <c r="B44" s="234"/>
      <c r="C44" s="234"/>
      <c r="D44" s="234"/>
      <c r="E44" s="234"/>
      <c r="F44" s="234"/>
      <c r="G44" s="234"/>
      <c r="H44" s="234"/>
      <c r="I44" s="234"/>
      <c r="J44" s="234"/>
    </row>
    <row r="45" spans="1:10" x14ac:dyDescent="0.2">
      <c r="A45" s="234"/>
      <c r="B45" s="234" t="s">
        <v>251</v>
      </c>
      <c r="C45" s="234"/>
      <c r="D45" s="234"/>
      <c r="E45" s="234"/>
      <c r="F45" s="234"/>
      <c r="G45" s="234"/>
      <c r="H45" s="234"/>
      <c r="I45" s="234"/>
      <c r="J45" s="234"/>
    </row>
    <row r="46" spans="1:10" ht="6" customHeight="1" thickBot="1" x14ac:dyDescent="0.25">
      <c r="A46" s="234"/>
      <c r="B46" s="234"/>
      <c r="C46" s="234"/>
      <c r="D46" s="234"/>
      <c r="E46" s="234"/>
      <c r="F46" s="234"/>
      <c r="G46" s="234"/>
      <c r="H46" s="234"/>
      <c r="I46" s="234"/>
      <c r="J46" s="234"/>
    </row>
    <row r="47" spans="1:10" x14ac:dyDescent="0.2">
      <c r="A47" s="235"/>
      <c r="B47" s="390"/>
      <c r="C47" s="763">
        <f>Absoluut!$C$3</f>
        <v>2021</v>
      </c>
      <c r="D47" s="764"/>
      <c r="E47" s="765">
        <f>Absoluut!$E$3</f>
        <v>2023</v>
      </c>
      <c r="F47" s="766"/>
      <c r="G47" s="767">
        <f>Absoluut!$G$3</f>
        <v>2024</v>
      </c>
      <c r="H47" s="766"/>
      <c r="I47" s="767">
        <f>Absoluut!$I$3</f>
        <v>2025</v>
      </c>
      <c r="J47" s="766"/>
    </row>
    <row r="48" spans="1:10" x14ac:dyDescent="0.2">
      <c r="A48" s="237"/>
      <c r="B48" s="391"/>
      <c r="C48" s="396" t="s">
        <v>18</v>
      </c>
      <c r="D48" s="397" t="s">
        <v>19</v>
      </c>
      <c r="E48" s="393" t="s">
        <v>18</v>
      </c>
      <c r="F48" s="240" t="s">
        <v>19</v>
      </c>
      <c r="G48" s="239" t="s">
        <v>18</v>
      </c>
      <c r="H48" s="240" t="s">
        <v>19</v>
      </c>
      <c r="I48" s="239" t="s">
        <v>18</v>
      </c>
      <c r="J48" s="240" t="s">
        <v>19</v>
      </c>
    </row>
    <row r="49" spans="1:12" x14ac:dyDescent="0.2">
      <c r="A49" s="241" t="s">
        <v>14</v>
      </c>
      <c r="B49" s="235" t="s">
        <v>21</v>
      </c>
      <c r="C49" s="398">
        <f>(HLOOKUP(CONCATENATE($C$23,-1),alles!$D$1:$AA$208,(MATCH(L49,alles!$C$1:$C$208,0)),0))+(IF(M49="",0,(HLOOKUP(CONCATENATE($C$23,-1),alles!$D$1:$AA$208,(MATCH(M49,alles!$C$1:$C$208,0)),0))+(IF(N49="",0,HLOOKUP(CONCATENATE($C$23,-1),alles!$D$1:$AA$208,(MATCH(N49,alles!$C$1:$C$208,0)),0)))+(IF(O49="",0,HLOOKUP(CONCATENATE($C$23,-1),alles!$D$1:$AA$208,(MATCH(O49,alles!$C$1:$C$208,0)),0)))+(IF(P49="",0,HLOOKUP(CONCATENATE($C$23,-1),alles!$D$1:$AA$208,(MATCH(P49,alles!$C$1:$C$208,0)),0))+(IF(Q49="",0,(HLOOKUP(CONCATENATE($C$23,-1),alles!$D$1:$AA$208,(MATCH(Q49,alles!$C$1:$C$208,0)),0)))))))</f>
        <v>3240</v>
      </c>
      <c r="D49" s="399">
        <f>(HLOOKUP(CONCATENATE($C$23,-2),alles!$D$1:$AA$208,(MATCH(L49,alles!$C$1:$C$208,0)),0))+(IF(M49="",0,(HLOOKUP(CONCATENATE($C$23,-2),alles!$D$1:$AA$208,(MATCH(M49,alles!$C$1:$C$208,0)),0))+(IF(N49="",0,HLOOKUP(CONCATENATE($C$23,-2),alles!$D$1:$AA$208,(MATCH(N49,alles!$C$1:$C$208,0)),0)))+(IF(O49="",0,HLOOKUP(CONCATENATE($C$23,-2),alles!$D$1:$AA$208,(MATCH(O49,alles!$C$1:$C$208,0)),0)))+(IF(P49="",0,HLOOKUP(CONCATENATE($C$23,-2),alles!$D$1:$AA$208,(MATCH(P49,alles!$C$1:$C$208,0)),0))+(IF(Q49="",0,(HLOOKUP(CONCATENATE($C$23,-2),alles!$D$1:$AA$208,(MATCH(Q49,alles!$C$1:$C$208,0)),0)))))))</f>
        <v>3527</v>
      </c>
      <c r="E49" s="394">
        <f>(HLOOKUP(CONCATENATE($E$23,-1),alles!$D$1:$AA$208,(MATCH(L49,alles!$C$1:$C$208,0)),0))+(IF(M49="",0,(HLOOKUP(CONCATENATE($E$23,-1),alles!$D$1:$AA$208,(MATCH(M49,alles!$C$1:$C$208,0)),0))+(IF(N49="",0,HLOOKUP(CONCATENATE($E$23,-1),alles!$D$1:$AA$208,(MATCH(N49,alles!$C$1:$C$208,0)),0)))+(IF(O49="",0,HLOOKUP(CONCATENATE($E$23,-1),alles!$D$1:$AA$208,(MATCH(O49,alles!$C$1:$C$208,0)),0)))+(IF(P49="",0,HLOOKUP(CONCATENATE($E$23,-1),alles!$D$1:$AA$208,(MATCH(P49,alles!$C$1:$C$208,0)),0))+(IF(Q49="",0,(HLOOKUP(CONCATENATE($E$23,-1),alles!$D$1:$AA$208,(MATCH(Q49,alles!$C$1:$C$208,0)),0)))))))</f>
        <v>3485.7</v>
      </c>
      <c r="F49" s="242">
        <f>(HLOOKUP(CONCATENATE($E$23,-2),alles!$D$1:$AA$208,(MATCH(L49,alles!$C$1:$C$208,0)),0))+(IF(M49="",0,(HLOOKUP(CONCATENATE($E$23,-2),alles!$D$1:$AA$208,(MATCH(M49,alles!$C$1:$C$208,0)),0))+(IF(N49="",0,HLOOKUP(CONCATENATE($E$23,-2),alles!$D$1:$AA$208,(MATCH(N49,alles!$C$1:$C$208,0)),0)))+(IF(O49="",0,HLOOKUP(CONCATENATE($E$23,-2),alles!$D$1:$AA$208,(MATCH(O49,alles!$C$1:$C$208,0)),0)))+(IF(P49="",0,HLOOKUP(CONCATENATE($E$23,-2),alles!$D$1:$AA$208,(MATCH(P49,alles!$C$1:$C$208,0)),0))+(IF(Q49="",0,(HLOOKUP(CONCATENATE($E$23,-2),alles!$D$1:$AA$208,(MATCH(Q49,alles!$C$1:$C$208,0)),0)))))))</f>
        <v>2986.4</v>
      </c>
      <c r="G49" s="242">
        <f>(HLOOKUP(CONCATENATE($G$23,-1),alles!$D$1:$AA$208,(MATCH(L49,alles!$C$1:$C$208,0)),0))+(IF(M49="",0,(HLOOKUP(CONCATENATE($G$23,-1),alles!$D$1:$AA$208,(MATCH(M49,alles!$C$1:$C$208,0)),0))+(IF(N49="",0,HLOOKUP(CONCATENATE($G$23,-1),alles!$D$1:$AA$208,(MATCH(N49,alles!$C$1:$C$208,0)),0)))+(IF(O49="",0,HLOOKUP(CONCATENATE($G$23,-1),alles!$D$1:$AA$208,(MATCH(O49,alles!$C$1:$C$208,0)),0)))+(IF(P49="",0,HLOOKUP(CONCATENATE($G$23,-1),alles!$D$1:$AA$208,(MATCH(P49,alles!$C$1:$C$208,0)),0))+(IF(Q49="",0,(HLOOKUP(CONCATENATE($G$23,-1),alles!$D$1:$AA$208,(MATCH(Q49,alles!$C$1:$C$208,0)),0)))))))</f>
        <v>1699</v>
      </c>
      <c r="H49" s="242">
        <f>(HLOOKUP(CONCATENATE($G$23,-2),alles!$D$1:$AA$208,(MATCH(L49,alles!$C$1:$C$208,0)),0))+(IF(M49="",0,(HLOOKUP(CONCATENATE($G$23,-2),alles!$D$1:$AA$208,(MATCH(M49,alles!$C$1:$C$208,0)),0))+(IF(N49="",0,HLOOKUP(CONCATENATE($G$23,-2),alles!$D$1:$AA$208,(MATCH(N49,alles!$C$1:$C$208,0)),0)))+(IF(O49="",0,HLOOKUP(CONCATENATE($G$23,-2),alles!$D$1:$AA$208,(MATCH(O49,alles!$C$1:$C$208,0)),0)))+(IF(P49="",0,HLOOKUP(CONCATENATE($G$23,-2),alles!$D$1:$AA$208,(MATCH(P49,alles!$C$1:$C$208,0)),0))+(IF(Q49="",0,(HLOOKUP(CONCATENATE($G$23,-2),alles!$D$1:$AA$208,(MATCH(Q49,alles!$C$1:$C$208,0)),0)))))))</f>
        <v>3041.65</v>
      </c>
      <c r="I49" s="242">
        <f>(HLOOKUP(CONCATENATE($I$23,-1),alles!$D$1:$AA$208,(MATCH(L49,alles!$C$1:$C$208,0)),0))+(IF(M49="",0,(HLOOKUP(CONCATENATE($I$23,-1),alles!$D$1:$AA$208,(MATCH(M49,alles!$C$1:$C$208,0)),0))+(IF(N49="",0,HLOOKUP(CONCATENATE($I$23,-1),alles!$D$1:$AA$208,(MATCH(N49,alles!$C$1:$C$208,0)),0)))+(IF(O49="",0,HLOOKUP(CONCATENATE($I$23,-1),alles!$D$1:$AA$208,(MATCH(O49,alles!$C$1:$C$208,0)),0)))+(IF(P49="",0,HLOOKUP(CONCATENATE($I$23,-1),alles!$D$1:$AA$208,(MATCH(P49,alles!$C$1:$C$208,0)),0))+(IF(Q49="",0,(HLOOKUP(CONCATENATE($I$23,-1),alles!$D$1:$AA$208,(MATCH(Q49,alles!$C$1:$C$208,0)),0)))))))</f>
        <v>0</v>
      </c>
      <c r="J49" s="242">
        <f>(HLOOKUP(CONCATENATE($I$23,-2),alles!$D$1:$AA$208,(MATCH(L49,alles!$C$1:$C$208,0)),0))+(IF(M49="",0,(HLOOKUP(CONCATENATE($I$23,-2),alles!$D$1:$AA$208,(MATCH(M49,alles!$C$1:$C$208,0)),0))+(IF(N49="",0,HLOOKUP(CONCATENATE($I$23,-2),alles!$D$1:$AA$208,(MATCH(N49,alles!$C$1:$C$208,0)),0)))+(IF(O49="",0,HLOOKUP(CONCATENATE($I$23,-2),alles!$D$1:$AA$208,(MATCH(O49,alles!$C$1:$C$208,0)),0)))+(IF(P49="",0,HLOOKUP(CONCATENATE($I$23,-2),alles!$D$1:$AA$208,(MATCH(P49,alles!$C$1:$C$208,0)),0))+(IF(Q49="",0,(HLOOKUP(CONCATENATE($I$23,-2),alles!$D$1:$AA$208,(MATCH(Q49,alles!$C$1:$C$208,0)),0)))))))</f>
        <v>0</v>
      </c>
      <c r="L49" t="s">
        <v>266</v>
      </c>
    </row>
    <row r="50" spans="1:12" x14ac:dyDescent="0.2">
      <c r="A50" s="247" t="s">
        <v>15</v>
      </c>
      <c r="B50" s="248" t="s">
        <v>21</v>
      </c>
      <c r="C50" s="398">
        <f>(HLOOKUP(CONCATENATE($C$23,-1),alles!$D$1:$AA$208,(MATCH(L50,alles!$C$1:$C$208,0)),0))+(IF(M50="",0,(HLOOKUP(CONCATENATE($C$23,-1),alles!$D$1:$AA$208,(MATCH(M50,alles!$C$1:$C$208,0)),0))+(IF(N50="",0,HLOOKUP(CONCATENATE($C$23,-1),alles!$D$1:$AA$208,(MATCH(N50,alles!$C$1:$C$208,0)),0)))+(IF(O50="",0,HLOOKUP(CONCATENATE($C$23,-1),alles!$D$1:$AA$208,(MATCH(O50,alles!$C$1:$C$208,0)),0)))+(IF(P50="",0,HLOOKUP(CONCATENATE($C$23,-1),alles!$D$1:$AA$208,(MATCH(P50,alles!$C$1:$C$208,0)),0))+(IF(Q50="",0,(HLOOKUP(CONCATENATE($C$23,-1),alles!$D$1:$AA$208,(MATCH(Q50,alles!$C$1:$C$208,0)),0)))))))</f>
        <v>2026</v>
      </c>
      <c r="D50" s="399">
        <f>(HLOOKUP(CONCATENATE($C$23,-2),alles!$D$1:$AA$208,(MATCH(L50,alles!$C$1:$C$208,0)),0))+(IF(M50="",0,(HLOOKUP(CONCATENATE($C$23,-2),alles!$D$1:$AA$208,(MATCH(M50,alles!$C$1:$C$208,0)),0))+(IF(N50="",0,HLOOKUP(CONCATENATE($C$23,-2),alles!$D$1:$AA$208,(MATCH(N50,alles!$C$1:$C$208,0)),0)))+(IF(O50="",0,HLOOKUP(CONCATENATE($C$23,-2),alles!$D$1:$AA$208,(MATCH(O50,alles!$C$1:$C$208,0)),0)))+(IF(P50="",0,HLOOKUP(CONCATENATE($C$23,-2),alles!$D$1:$AA$208,(MATCH(P50,alles!$C$1:$C$208,0)),0))+(IF(Q50="",0,(HLOOKUP(CONCATENATE($C$23,-2),alles!$D$1:$AA$208,(MATCH(Q50,alles!$C$1:$C$208,0)),0)))))))</f>
        <v>2673</v>
      </c>
      <c r="E50" s="394">
        <f>(HLOOKUP(CONCATENATE($E$23,-1),alles!$D$1:$AA$208,(MATCH(L50,alles!$C$1:$C$208,0)),0))+(IF(M50="",0,(HLOOKUP(CONCATENATE($E$23,-1),alles!$D$1:$AA$208,(MATCH(M50,alles!$C$1:$C$208,0)),0))+(IF(N50="",0,HLOOKUP(CONCATENATE($E$23,-1),alles!$D$1:$AA$208,(MATCH(N50,alles!$C$1:$C$208,0)),0)))+(IF(O50="",0,HLOOKUP(CONCATENATE($E$23,-1),alles!$D$1:$AA$208,(MATCH(O50,alles!$C$1:$C$208,0)),0)))+(IF(P50="",0,HLOOKUP(CONCATENATE($E$23,-1),alles!$D$1:$AA$208,(MATCH(P50,alles!$C$1:$C$208,0)),0))+(IF(Q50="",0,(HLOOKUP(CONCATENATE($E$23,-1),alles!$D$1:$AA$208,(MATCH(Q50,alles!$C$1:$C$208,0)),0)))))))</f>
        <v>0</v>
      </c>
      <c r="F50" s="242">
        <f>(HLOOKUP(CONCATENATE($E$23,-2),alles!$D$1:$AA$208,(MATCH(L50,alles!$C$1:$C$208,0)),0))+(IF(M50="",0,(HLOOKUP(CONCATENATE($E$23,-2),alles!$D$1:$AA$208,(MATCH(M50,alles!$C$1:$C$208,0)),0))+(IF(N50="",0,HLOOKUP(CONCATENATE($E$23,-2),alles!$D$1:$AA$208,(MATCH(N50,alles!$C$1:$C$208,0)),0)))+(IF(O50="",0,HLOOKUP(CONCATENATE($E$23,-2),alles!$D$1:$AA$208,(MATCH(O50,alles!$C$1:$C$208,0)),0)))+(IF(P50="",0,HLOOKUP(CONCATENATE($E$23,-2),alles!$D$1:$AA$208,(MATCH(P50,alles!$C$1:$C$208,0)),0))+(IF(Q50="",0,(HLOOKUP(CONCATENATE($E$23,-2),alles!$D$1:$AA$208,(MATCH(Q50,alles!$C$1:$C$208,0)),0)))))))</f>
        <v>0</v>
      </c>
      <c r="G50" s="242">
        <f>(HLOOKUP(CONCATENATE($G$23,-1),alles!$D$1:$AA$208,(MATCH(L50,alles!$C$1:$C$208,0)),0))+(IF(M50="",0,(HLOOKUP(CONCATENATE($G$23,-1),alles!$D$1:$AA$208,(MATCH(M50,alles!$C$1:$C$208,0)),0))+(IF(N50="",0,HLOOKUP(CONCATENATE($G$23,-1),alles!$D$1:$AA$208,(MATCH(N50,alles!$C$1:$C$208,0)),0)))+(IF(O50="",0,HLOOKUP(CONCATENATE($G$23,-1),alles!$D$1:$AA$208,(MATCH(O50,alles!$C$1:$C$208,0)),0)))+(IF(P50="",0,HLOOKUP(CONCATENATE($G$23,-1),alles!$D$1:$AA$208,(MATCH(P50,alles!$C$1:$C$208,0)),0))+(IF(Q50="",0,(HLOOKUP(CONCATENATE($G$23,-1),alles!$D$1:$AA$208,(MATCH(Q50,alles!$C$1:$C$208,0)),0)))))))</f>
        <v>2733.33</v>
      </c>
      <c r="H50" s="242">
        <f>(HLOOKUP(CONCATENATE($G$23,-2),alles!$D$1:$AA$208,(MATCH(L50,alles!$C$1:$C$208,0)),0))+(IF(M50="",0,(HLOOKUP(CONCATENATE($G$23,-2),alles!$D$1:$AA$208,(MATCH(M50,alles!$C$1:$C$208,0)),0))+(IF(N50="",0,HLOOKUP(CONCATENATE($G$23,-2),alles!$D$1:$AA$208,(MATCH(N50,alles!$C$1:$C$208,0)),0)))+(IF(O50="",0,HLOOKUP(CONCATENATE($G$23,-2),alles!$D$1:$AA$208,(MATCH(O50,alles!$C$1:$C$208,0)),0)))+(IF(P50="",0,HLOOKUP(CONCATENATE($G$23,-2),alles!$D$1:$AA$208,(MATCH(P50,alles!$C$1:$C$208,0)),0))+(IF(Q50="",0,(HLOOKUP(CONCATENATE($G$23,-2),alles!$D$1:$AA$208,(MATCH(Q50,alles!$C$1:$C$208,0)),0)))))))</f>
        <v>3152.3</v>
      </c>
      <c r="I50" s="242">
        <f>(HLOOKUP(CONCATENATE($I$23,-1),alles!$D$1:$AA$208,(MATCH(L50,alles!$C$1:$C$208,0)),0))+(IF(M50="",0,(HLOOKUP(CONCATENATE($I$23,-1),alles!$D$1:$AA$208,(MATCH(M50,alles!$C$1:$C$208,0)),0))+(IF(N50="",0,HLOOKUP(CONCATENATE($I$23,-1),alles!$D$1:$AA$208,(MATCH(N50,alles!$C$1:$C$208,0)),0)))+(IF(O50="",0,HLOOKUP(CONCATENATE($I$23,-1),alles!$D$1:$AA$208,(MATCH(O50,alles!$C$1:$C$208,0)),0)))+(IF(P50="",0,HLOOKUP(CONCATENATE($I$23,-1),alles!$D$1:$AA$208,(MATCH(P50,alles!$C$1:$C$208,0)),0))+(IF(Q50="",0,(HLOOKUP(CONCATENATE($I$23,-1),alles!$D$1:$AA$208,(MATCH(Q50,alles!$C$1:$C$208,0)),0)))))))</f>
        <v>5640.04</v>
      </c>
      <c r="J50" s="242">
        <f>(HLOOKUP(CONCATENATE($I$23,-2),alles!$D$1:$AA$208,(MATCH(L50,alles!$C$1:$C$208,0)),0))+(IF(M50="",0,(HLOOKUP(CONCATENATE($I$23,-2),alles!$D$1:$AA$208,(MATCH(M50,alles!$C$1:$C$208,0)),0))+(IF(N50="",0,HLOOKUP(CONCATENATE($I$23,-2),alles!$D$1:$AA$208,(MATCH(N50,alles!$C$1:$C$208,0)),0)))+(IF(O50="",0,HLOOKUP(CONCATENATE($I$23,-2),alles!$D$1:$AA$208,(MATCH(O50,alles!$C$1:$C$208,0)),0)))+(IF(P50="",0,HLOOKUP(CONCATENATE($I$23,-2),alles!$D$1:$AA$208,(MATCH(P50,alles!$C$1:$C$208,0)),0))+(IF(Q50="",0,(HLOOKUP(CONCATENATE($I$23,-2),alles!$D$1:$AA$208,(MATCH(Q50,alles!$C$1:$C$208,0)),0)))))))</f>
        <v>6499.91</v>
      </c>
      <c r="L50" t="s">
        <v>267</v>
      </c>
    </row>
    <row r="51" spans="1:12" x14ac:dyDescent="0.2">
      <c r="A51" s="247" t="s">
        <v>16</v>
      </c>
      <c r="B51" s="248" t="s">
        <v>21</v>
      </c>
      <c r="C51" s="398">
        <f>(HLOOKUP(CONCATENATE($C$23,-1),alles!$D$1:$AA$208,(MATCH(L51,alles!$C$1:$C$208,0)),0))+(IF(M51="",0,(HLOOKUP(CONCATENATE($C$23,-1),alles!$D$1:$AA$208,(MATCH(M51,alles!$C$1:$C$208,0)),0))+(IF(N51="",0,HLOOKUP(CONCATENATE($C$23,-1),alles!$D$1:$AA$208,(MATCH(N51,alles!$C$1:$C$208,0)),0)))+(IF(O51="",0,HLOOKUP(CONCATENATE($C$23,-1),alles!$D$1:$AA$208,(MATCH(O51,alles!$C$1:$C$208,0)),0)))+(IF(P51="",0,HLOOKUP(CONCATENATE($C$23,-1),alles!$D$1:$AA$208,(MATCH(P51,alles!$C$1:$C$208,0)),0))+(IF(Q51="",0,(HLOOKUP(CONCATENATE($C$23,-1),alles!$D$1:$AA$208,(MATCH(Q51,alles!$C$1:$C$208,0)),0)))))))</f>
        <v>0</v>
      </c>
      <c r="D51" s="399">
        <f>(HLOOKUP(CONCATENATE($C$23,-2),alles!$D$1:$AA$208,(MATCH(L51,alles!$C$1:$C$208,0)),0))+(IF(M51="",0,(HLOOKUP(CONCATENATE($C$23,-2),alles!$D$1:$AA$208,(MATCH(M51,alles!$C$1:$C$208,0)),0))+(IF(N51="",0,HLOOKUP(CONCATENATE($C$23,-2),alles!$D$1:$AA$208,(MATCH(N51,alles!$C$1:$C$208,0)),0)))+(IF(O51="",0,HLOOKUP(CONCATENATE($C$23,-2),alles!$D$1:$AA$208,(MATCH(O51,alles!$C$1:$C$208,0)),0)))+(IF(P51="",0,HLOOKUP(CONCATENATE($C$23,-2),alles!$D$1:$AA$208,(MATCH(P51,alles!$C$1:$C$208,0)),0))+(IF(Q51="",0,(HLOOKUP(CONCATENATE($C$23,-2),alles!$D$1:$AA$208,(MATCH(Q51,alles!$C$1:$C$208,0)),0)))))))</f>
        <v>0</v>
      </c>
      <c r="E51" s="394">
        <f>(HLOOKUP(CONCATENATE($E$23,-1),alles!$D$1:$AA$208,(MATCH(L51,alles!$C$1:$C$208,0)),0))+(IF(M51="",0,(HLOOKUP(CONCATENATE($E$23,-1),alles!$D$1:$AA$208,(MATCH(M51,alles!$C$1:$C$208,0)),0))+(IF(N51="",0,HLOOKUP(CONCATENATE($E$23,-1),alles!$D$1:$AA$208,(MATCH(N51,alles!$C$1:$C$208,0)),0)))+(IF(O51="",0,HLOOKUP(CONCATENATE($E$23,-1),alles!$D$1:$AA$208,(MATCH(O51,alles!$C$1:$C$208,0)),0)))+(IF(P51="",0,HLOOKUP(CONCATENATE($E$23,-1),alles!$D$1:$AA$208,(MATCH(P51,alles!$C$1:$C$208,0)),0))+(IF(Q51="",0,(HLOOKUP(CONCATENATE($E$23,-1),alles!$D$1:$AA$208,(MATCH(Q51,alles!$C$1:$C$208,0)),0)))))))</f>
        <v>0</v>
      </c>
      <c r="F51" s="242">
        <f>(HLOOKUP(CONCATENATE($E$23,-2),alles!$D$1:$AA$208,(MATCH(L51,alles!$C$1:$C$208,0)),0))+(IF(M51="",0,(HLOOKUP(CONCATENATE($E$23,-2),alles!$D$1:$AA$208,(MATCH(M51,alles!$C$1:$C$208,0)),0))+(IF(N51="",0,HLOOKUP(CONCATENATE($E$23,-2),alles!$D$1:$AA$208,(MATCH(N51,alles!$C$1:$C$208,0)),0)))+(IF(O51="",0,HLOOKUP(CONCATENATE($E$23,-2),alles!$D$1:$AA$208,(MATCH(O51,alles!$C$1:$C$208,0)),0)))+(IF(P51="",0,HLOOKUP(CONCATENATE($E$23,-2),alles!$D$1:$AA$208,(MATCH(P51,alles!$C$1:$C$208,0)),0))+(IF(Q51="",0,(HLOOKUP(CONCATENATE($E$23,-2),alles!$D$1:$AA$208,(MATCH(Q51,alles!$C$1:$C$208,0)),0)))))))</f>
        <v>0</v>
      </c>
      <c r="G51" s="242">
        <f>(HLOOKUP(CONCATENATE($G$23,-1),alles!$D$1:$AA$208,(MATCH(L51,alles!$C$1:$C$208,0)),0))+(IF(M51="",0,(HLOOKUP(CONCATENATE($G$23,-1),alles!$D$1:$AA$208,(MATCH(M51,alles!$C$1:$C$208,0)),0))+(IF(N51="",0,HLOOKUP(CONCATENATE($G$23,-1),alles!$D$1:$AA$208,(MATCH(N51,alles!$C$1:$C$208,0)),0)))+(IF(O51="",0,HLOOKUP(CONCATENATE($G$23,-1),alles!$D$1:$AA$208,(MATCH(O51,alles!$C$1:$C$208,0)),0)))+(IF(P51="",0,HLOOKUP(CONCATENATE($G$23,-1),alles!$D$1:$AA$208,(MATCH(P51,alles!$C$1:$C$208,0)),0))+(IF(Q51="",0,(HLOOKUP(CONCATENATE($G$23,-1),alles!$D$1:$AA$208,(MATCH(Q51,alles!$C$1:$C$208,0)),0)))))))</f>
        <v>0</v>
      </c>
      <c r="H51" s="242">
        <f>(HLOOKUP(CONCATENATE($G$23,-2),alles!$D$1:$AA$208,(MATCH(L51,alles!$C$1:$C$208,0)),0))+(IF(M51="",0,(HLOOKUP(CONCATENATE($G$23,-2),alles!$D$1:$AA$208,(MATCH(M51,alles!$C$1:$C$208,0)),0))+(IF(N51="",0,HLOOKUP(CONCATENATE($G$23,-2),alles!$D$1:$AA$208,(MATCH(N51,alles!$C$1:$C$208,0)),0)))+(IF(O51="",0,HLOOKUP(CONCATENATE($G$23,-2),alles!$D$1:$AA$208,(MATCH(O51,alles!$C$1:$C$208,0)),0)))+(IF(P51="",0,HLOOKUP(CONCATENATE($G$23,-2),alles!$D$1:$AA$208,(MATCH(P51,alles!$C$1:$C$208,0)),0))+(IF(Q51="",0,(HLOOKUP(CONCATENATE($G$23,-2),alles!$D$1:$AA$208,(MATCH(Q51,alles!$C$1:$C$208,0)),0)))))))</f>
        <v>0</v>
      </c>
      <c r="I51" s="242">
        <f>(HLOOKUP(CONCATENATE($I$23,-1),alles!$D$1:$AA$208,(MATCH(L51,alles!$C$1:$C$208,0)),0))+(IF(M51="",0,(HLOOKUP(CONCATENATE($I$23,-1),alles!$D$1:$AA$208,(MATCH(M51,alles!$C$1:$C$208,0)),0))+(IF(N51="",0,HLOOKUP(CONCATENATE($I$23,-1),alles!$D$1:$AA$208,(MATCH(N51,alles!$C$1:$C$208,0)),0)))+(IF(O51="",0,HLOOKUP(CONCATENATE($I$23,-1),alles!$D$1:$AA$208,(MATCH(O51,alles!$C$1:$C$208,0)),0)))+(IF(P51="",0,HLOOKUP(CONCATENATE($I$23,-1),alles!$D$1:$AA$208,(MATCH(P51,alles!$C$1:$C$208,0)),0))+(IF(Q51="",0,(HLOOKUP(CONCATENATE($I$23,-1),alles!$D$1:$AA$208,(MATCH(Q51,alles!$C$1:$C$208,0)),0)))))))</f>
        <v>0</v>
      </c>
      <c r="J51" s="242">
        <f>(HLOOKUP(CONCATENATE($I$23,-2),alles!$D$1:$AA$208,(MATCH(L51,alles!$C$1:$C$208,0)),0))+(IF(M51="",0,(HLOOKUP(CONCATENATE($I$23,-2),alles!$D$1:$AA$208,(MATCH(M51,alles!$C$1:$C$208,0)),0))+(IF(N51="",0,HLOOKUP(CONCATENATE($I$23,-2),alles!$D$1:$AA$208,(MATCH(N51,alles!$C$1:$C$208,0)),0)))+(IF(O51="",0,HLOOKUP(CONCATENATE($I$23,-2),alles!$D$1:$AA$208,(MATCH(O51,alles!$C$1:$C$208,0)),0)))+(IF(P51="",0,HLOOKUP(CONCATENATE($I$23,-2),alles!$D$1:$AA$208,(MATCH(P51,alles!$C$1:$C$208,0)),0))+(IF(Q51="",0,(HLOOKUP(CONCATENATE($I$23,-2),alles!$D$1:$AA$208,(MATCH(Q51,alles!$C$1:$C$208,0)),0)))))))</f>
        <v>0</v>
      </c>
      <c r="L51" t="s">
        <v>268</v>
      </c>
    </row>
    <row r="52" spans="1:12" ht="17" thickBot="1" x14ac:dyDescent="0.25">
      <c r="A52" s="244"/>
      <c r="B52" s="392" t="s">
        <v>31</v>
      </c>
      <c r="C52" s="400">
        <f t="shared" ref="C52:J52" si="2">SUM(C49:C51)</f>
        <v>5266</v>
      </c>
      <c r="D52" s="401">
        <f t="shared" si="2"/>
        <v>6200</v>
      </c>
      <c r="E52" s="395">
        <f t="shared" si="2"/>
        <v>3485.7</v>
      </c>
      <c r="F52" s="246">
        <f t="shared" si="2"/>
        <v>2986.4</v>
      </c>
      <c r="G52" s="246">
        <f t="shared" si="2"/>
        <v>4432.33</v>
      </c>
      <c r="H52" s="246">
        <f t="shared" si="2"/>
        <v>6193.9500000000007</v>
      </c>
      <c r="I52" s="246">
        <f t="shared" si="2"/>
        <v>5640.04</v>
      </c>
      <c r="J52" s="246">
        <f t="shared" si="2"/>
        <v>6499.91</v>
      </c>
    </row>
    <row r="53" spans="1:12" ht="6" customHeight="1" x14ac:dyDescent="0.2">
      <c r="A53" s="234"/>
      <c r="B53" s="234"/>
      <c r="C53" s="234"/>
      <c r="D53" s="234"/>
      <c r="E53" s="234"/>
      <c r="F53" s="234"/>
      <c r="G53" s="234"/>
      <c r="H53" s="234"/>
      <c r="I53" s="234"/>
      <c r="J53" s="234"/>
    </row>
    <row r="54" spans="1:12" x14ac:dyDescent="0.2">
      <c r="A54" s="234"/>
      <c r="B54" s="428"/>
      <c r="C54" s="429"/>
      <c r="D54" s="429"/>
      <c r="E54" s="429"/>
      <c r="F54" s="429"/>
      <c r="G54" s="429"/>
      <c r="H54" s="429"/>
      <c r="I54" s="429"/>
      <c r="J54" s="429"/>
    </row>
    <row r="55" spans="1:12" x14ac:dyDescent="0.2">
      <c r="A55" s="234"/>
      <c r="B55" s="428"/>
      <c r="C55" s="429"/>
      <c r="D55" s="429"/>
      <c r="E55" s="429"/>
      <c r="F55" s="429"/>
      <c r="G55" s="429"/>
      <c r="H55" s="429"/>
      <c r="I55" s="429"/>
      <c r="J55" s="429"/>
    </row>
    <row r="56" spans="1:12" x14ac:dyDescent="0.2">
      <c r="A56" s="234"/>
      <c r="B56" s="428"/>
      <c r="C56" s="429"/>
      <c r="D56" s="429"/>
      <c r="E56" s="429"/>
      <c r="F56" s="429"/>
      <c r="G56" s="429"/>
      <c r="H56" s="429"/>
      <c r="I56" s="429"/>
      <c r="J56" s="429"/>
    </row>
    <row r="57" spans="1:12" x14ac:dyDescent="0.2">
      <c r="A57" s="234"/>
      <c r="B57" s="428"/>
      <c r="C57" s="429"/>
      <c r="D57" s="429"/>
      <c r="E57" s="429"/>
      <c r="F57" s="429"/>
      <c r="G57" s="429"/>
      <c r="H57" s="429"/>
      <c r="I57" s="429"/>
      <c r="J57" s="429"/>
    </row>
    <row r="58" spans="1:12" x14ac:dyDescent="0.2">
      <c r="A58" s="234"/>
      <c r="B58" s="428"/>
      <c r="C58" s="429"/>
      <c r="D58" s="429"/>
      <c r="E58" s="429"/>
      <c r="F58" s="429"/>
      <c r="G58" s="429"/>
      <c r="H58" s="429"/>
      <c r="I58" s="429"/>
      <c r="J58" s="429"/>
    </row>
    <row r="59" spans="1:12" x14ac:dyDescent="0.2">
      <c r="A59" s="234"/>
      <c r="B59" s="428"/>
      <c r="C59" s="429"/>
      <c r="D59" s="429"/>
      <c r="E59" s="429"/>
      <c r="F59" s="429"/>
      <c r="G59" s="429"/>
      <c r="H59" s="429"/>
      <c r="I59" s="429"/>
      <c r="J59" s="429"/>
    </row>
    <row r="60" spans="1:12" x14ac:dyDescent="0.2">
      <c r="A60" s="234"/>
      <c r="B60" s="428"/>
      <c r="C60" s="429"/>
      <c r="D60" s="429"/>
      <c r="E60" s="429"/>
      <c r="F60" s="429"/>
      <c r="G60" s="429"/>
      <c r="H60" s="429"/>
      <c r="I60" s="429"/>
      <c r="J60" s="429"/>
    </row>
    <row r="61" spans="1:12" x14ac:dyDescent="0.2">
      <c r="A61" s="234"/>
      <c r="B61" s="428"/>
      <c r="C61" s="429"/>
      <c r="D61" s="429"/>
      <c r="E61" s="429"/>
      <c r="F61" s="429"/>
      <c r="G61" s="429"/>
      <c r="H61" s="429"/>
      <c r="I61" s="429"/>
      <c r="J61" s="429"/>
    </row>
    <row r="62" spans="1:12" x14ac:dyDescent="0.2">
      <c r="A62" s="234"/>
      <c r="B62" s="428"/>
      <c r="C62" s="429"/>
      <c r="D62" s="429"/>
      <c r="E62" s="429"/>
      <c r="F62" s="429"/>
      <c r="G62" s="429"/>
      <c r="H62" s="429"/>
      <c r="I62" s="429"/>
      <c r="J62" s="429"/>
    </row>
    <row r="63" spans="1:12" x14ac:dyDescent="0.2">
      <c r="A63" s="234"/>
      <c r="B63" s="428"/>
      <c r="C63" s="429"/>
      <c r="D63" s="429"/>
      <c r="E63" s="429"/>
      <c r="F63" s="429"/>
      <c r="G63" s="429"/>
      <c r="H63" s="429"/>
      <c r="I63" s="429"/>
      <c r="J63" s="429"/>
    </row>
    <row r="64" spans="1:12" x14ac:dyDescent="0.2">
      <c r="A64" s="234"/>
      <c r="B64" s="428"/>
      <c r="C64" s="429"/>
      <c r="D64" s="429"/>
      <c r="E64" s="429"/>
      <c r="F64" s="429"/>
      <c r="G64" s="429"/>
      <c r="H64" s="429"/>
      <c r="I64" s="429"/>
      <c r="J64" s="429"/>
    </row>
    <row r="65" spans="1:12" x14ac:dyDescent="0.2">
      <c r="A65" s="234"/>
      <c r="B65" s="234"/>
      <c r="C65" s="234"/>
      <c r="D65" s="234"/>
      <c r="E65" s="234"/>
      <c r="F65" s="234"/>
      <c r="G65" s="234"/>
      <c r="H65" s="234"/>
      <c r="I65" s="234"/>
      <c r="J65" s="234"/>
    </row>
    <row r="66" spans="1:12" x14ac:dyDescent="0.2">
      <c r="A66" s="234"/>
      <c r="B66" s="234" t="s">
        <v>252</v>
      </c>
      <c r="C66" s="234"/>
      <c r="D66" s="234"/>
      <c r="E66" s="234"/>
      <c r="F66" s="234"/>
      <c r="G66" s="234"/>
      <c r="H66" s="234"/>
      <c r="I66" s="234"/>
      <c r="J66" s="234"/>
    </row>
    <row r="67" spans="1:12" ht="6" customHeight="1" thickBot="1" x14ac:dyDescent="0.25">
      <c r="A67" s="234"/>
      <c r="B67" s="234"/>
      <c r="C67" s="234"/>
      <c r="D67" s="234"/>
      <c r="E67" s="234"/>
      <c r="F67" s="234"/>
      <c r="G67" s="234"/>
      <c r="H67" s="234"/>
      <c r="I67" s="234"/>
      <c r="J67" s="234"/>
    </row>
    <row r="68" spans="1:12" x14ac:dyDescent="0.2">
      <c r="A68" s="235"/>
      <c r="B68" s="390"/>
      <c r="C68" s="763">
        <f>Absoluut!$C$3</f>
        <v>2021</v>
      </c>
      <c r="D68" s="764"/>
      <c r="E68" s="765">
        <f>Absoluut!$E$3</f>
        <v>2023</v>
      </c>
      <c r="F68" s="766"/>
      <c r="G68" s="767">
        <f>Absoluut!$G$3</f>
        <v>2024</v>
      </c>
      <c r="H68" s="766"/>
      <c r="I68" s="767">
        <f>Absoluut!$I$3</f>
        <v>2025</v>
      </c>
      <c r="J68" s="766"/>
    </row>
    <row r="69" spans="1:12" x14ac:dyDescent="0.2">
      <c r="A69" s="237"/>
      <c r="B69" s="391"/>
      <c r="C69" s="396" t="s">
        <v>18</v>
      </c>
      <c r="D69" s="397" t="s">
        <v>19</v>
      </c>
      <c r="E69" s="393" t="s">
        <v>18</v>
      </c>
      <c r="F69" s="240" t="s">
        <v>19</v>
      </c>
      <c r="G69" s="239" t="s">
        <v>18</v>
      </c>
      <c r="H69" s="240" t="s">
        <v>19</v>
      </c>
      <c r="I69" s="239" t="s">
        <v>18</v>
      </c>
      <c r="J69" s="240" t="s">
        <v>19</v>
      </c>
    </row>
    <row r="70" spans="1:12" x14ac:dyDescent="0.2">
      <c r="A70" s="241" t="s">
        <v>120</v>
      </c>
      <c r="B70" s="235" t="s">
        <v>21</v>
      </c>
      <c r="C70" s="398">
        <f>(HLOOKUP(CONCATENATE($C$23,-1),alles!$D$1:$AA$208,(MATCH(L70,alles!$C$1:$C$208,0)),0))+(IF(M70="",0,(HLOOKUP(CONCATENATE($C$23,-1),alles!$D$1:$AA$208,(MATCH(M70,alles!$C$1:$C$208,0)),0))+(IF(N70="",0,HLOOKUP(CONCATENATE($C$23,-1),alles!$D$1:$AA$208,(MATCH(N70,alles!$C$1:$C$208,0)),0)))+(IF(O70="",0,HLOOKUP(CONCATENATE($C$23,-1),alles!$D$1:$AA$208,(MATCH(O70,alles!$C$1:$C$208,0)),0)))+(IF(P70="",0,HLOOKUP(CONCATENATE($C$23,-1),alles!$D$1:$AA$208,(MATCH(P70,alles!$C$1:$C$208,0)),0))+(IF(Q70="",0,(HLOOKUP(CONCATENATE($C$23,-1),alles!$D$1:$AA$208,(MATCH(Q70,alles!$C$1:$C$208,0)),0)))))))</f>
        <v>9120</v>
      </c>
      <c r="D70" s="399">
        <f>(HLOOKUP(CONCATENATE($C$23,-2),alles!$D$1:$AA$208,(MATCH(L70,alles!$C$1:$C$208,0)),0))+(IF(M70="",0,(HLOOKUP(CONCATENATE($C$23,-2),alles!$D$1:$AA$208,(MATCH(M70,alles!$C$1:$C$208,0)),0))+(IF(N70="",0,HLOOKUP(CONCATENATE($C$23,-2),alles!$D$1:$AA$208,(MATCH(N70,alles!$C$1:$C$208,0)),0)))+(IF(O70="",0,HLOOKUP(CONCATENATE($C$23,-2),alles!$D$1:$AA$208,(MATCH(O70,alles!$C$1:$C$208,0)),0)))+(IF(P70="",0,HLOOKUP(CONCATENATE($C$23,-2),alles!$D$1:$AA$208,(MATCH(P70,alles!$C$1:$C$208,0)),0))+(IF(Q70="",0,(HLOOKUP(CONCATENATE($C$23,-2),alles!$D$1:$AA$208,(MATCH(Q70,alles!$C$1:$C$208,0)),0)))))))</f>
        <v>9474.2999999999993</v>
      </c>
      <c r="E70" s="394">
        <f>(HLOOKUP(CONCATENATE($E$23,-1),alles!$D$1:$AA$208,(MATCH(L70,alles!$C$1:$C$208,0)),0))+(IF(M70="",0,(HLOOKUP(CONCATENATE($E$23,-1),alles!$D$1:$AA$208,(MATCH(M70,alles!$C$1:$C$208,0)),0))+(IF(N70="",0,HLOOKUP(CONCATENATE($E$23,-1),alles!$D$1:$AA$208,(MATCH(N70,alles!$C$1:$C$208,0)),0)))+(IF(O70="",0,HLOOKUP(CONCATENATE($E$23,-1),alles!$D$1:$AA$208,(MATCH(O70,alles!$C$1:$C$208,0)),0)))+(IF(P70="",0,HLOOKUP(CONCATENATE($E$23,-1),alles!$D$1:$AA$208,(MATCH(P70,alles!$C$1:$C$208,0)),0))+(IF(Q70="",0,(HLOOKUP(CONCATENATE($E$23,-1),alles!$D$1:$AA$208,(MATCH(Q70,alles!$C$1:$C$208,0)),0)))))))</f>
        <v>11996.7</v>
      </c>
      <c r="F70" s="242">
        <f>(HLOOKUP(CONCATENATE($E$23,-2),alles!$D$1:$AA$208,(MATCH(L70,alles!$C$1:$C$208,0)),0))+(IF(M70="",0,(HLOOKUP(CONCATENATE($E$23,-2),alles!$D$1:$AA$208,(MATCH(M70,alles!$C$1:$C$208,0)),0))+(IF(N70="",0,HLOOKUP(CONCATENATE($E$23,-2),alles!$D$1:$AA$208,(MATCH(N70,alles!$C$1:$C$208,0)),0)))+(IF(O70="",0,HLOOKUP(CONCATENATE($E$23,-2),alles!$D$1:$AA$208,(MATCH(O70,alles!$C$1:$C$208,0)),0)))+(IF(P70="",0,HLOOKUP(CONCATENATE($E$23,-2),alles!$D$1:$AA$208,(MATCH(P70,alles!$C$1:$C$208,0)),0))+(IF(Q70="",0,(HLOOKUP(CONCATENATE($E$23,-2),alles!$D$1:$AA$208,(MATCH(Q70,alles!$C$1:$C$208,0)),0)))))))</f>
        <v>12750</v>
      </c>
      <c r="G70" s="242">
        <f>(HLOOKUP(CONCATENATE($G$23,-1),alles!$D$1:$AA$208,(MATCH(L70,alles!$C$1:$C$208,0)),0))+(IF(M70="",0,(HLOOKUP(CONCATENATE($G$23,-1),alles!$D$1:$AA$208,(MATCH(M70,alles!$C$1:$C$208,0)),0))+(IF(N70="",0,HLOOKUP(CONCATENATE($G$23,-1),alles!$D$1:$AA$208,(MATCH(N70,alles!$C$1:$C$208,0)),0)))+(IF(O70="",0,HLOOKUP(CONCATENATE($G$23,-1),alles!$D$1:$AA$208,(MATCH(O70,alles!$C$1:$C$208,0)),0)))+(IF(P70="",0,HLOOKUP(CONCATENATE($G$23,-1),alles!$D$1:$AA$208,(MATCH(P70,alles!$C$1:$C$208,0)),0))+(IF(Q70="",0,(HLOOKUP(CONCATENATE($G$23,-1),alles!$D$1:$AA$208,(MATCH(Q70,alles!$C$1:$C$208,0)),0)))))))</f>
        <v>12988</v>
      </c>
      <c r="H70" s="242">
        <f>(HLOOKUP(CONCATENATE($G$23,-2),alles!$D$1:$AA$208,(MATCH(L70,alles!$C$1:$C$208,0)),0))+(IF(M70="",0,(HLOOKUP(CONCATENATE($G$23,-2),alles!$D$1:$AA$208,(MATCH(M70,alles!$C$1:$C$208,0)),0))+(IF(N70="",0,HLOOKUP(CONCATENATE($G$23,-2),alles!$D$1:$AA$208,(MATCH(N70,alles!$C$1:$C$208,0)),0)))+(IF(O70="",0,HLOOKUP(CONCATENATE($G$23,-2),alles!$D$1:$AA$208,(MATCH(O70,alles!$C$1:$C$208,0)),0)))+(IF(P70="",0,HLOOKUP(CONCATENATE($G$23,-2),alles!$D$1:$AA$208,(MATCH(P70,alles!$C$1:$C$208,0)),0))+(IF(Q70="",0,(HLOOKUP(CONCATENATE($G$23,-2),alles!$D$1:$AA$208,(MATCH(Q70,alles!$C$1:$C$208,0)),0)))))))</f>
        <v>12138.5</v>
      </c>
      <c r="I70" s="242">
        <f>(HLOOKUP(CONCATENATE($I$23,-1),alles!$D$1:$AA$208,(MATCH(L70,alles!$C$1:$C$208,0)),0))+(IF(M70="",0,(HLOOKUP(CONCATENATE($I$23,-1),alles!$D$1:$AA$208,(MATCH(M70,alles!$C$1:$C$208,0)),0))+(IF(N70="",0,HLOOKUP(CONCATENATE($I$23,-1),alles!$D$1:$AA$208,(MATCH(N70,alles!$C$1:$C$208,0)),0)))+(IF(O70="",0,HLOOKUP(CONCATENATE($I$23,-1),alles!$D$1:$AA$208,(MATCH(O70,alles!$C$1:$C$208,0)),0)))+(IF(P70="",0,HLOOKUP(CONCATENATE($I$23,-1),alles!$D$1:$AA$208,(MATCH(P70,alles!$C$1:$C$208,0)),0))+(IF(Q70="",0,(HLOOKUP(CONCATENATE($I$23,-1),alles!$D$1:$AA$208,(MATCH(Q70,alles!$C$1:$C$208,0)),0)))))))</f>
        <v>14287</v>
      </c>
      <c r="J70" s="242">
        <f>(HLOOKUP(CONCATENATE($I$23,-2),alles!$D$1:$AA$208,(MATCH(L70,alles!$C$1:$C$208,0)),0))+(IF(M70="",0,(HLOOKUP(CONCATENATE($I$23,-2),alles!$D$1:$AA$208,(MATCH(M70,alles!$C$1:$C$208,0)),0))+(IF(N70="",0,HLOOKUP(CONCATENATE($I$23,-2),alles!$D$1:$AA$208,(MATCH(N70,alles!$C$1:$C$208,0)),0)))+(IF(O70="",0,HLOOKUP(CONCATENATE($I$23,-2),alles!$D$1:$AA$208,(MATCH(O70,alles!$C$1:$C$208,0)),0)))+(IF(P70="",0,HLOOKUP(CONCATENATE($I$23,-2),alles!$D$1:$AA$208,(MATCH(P70,alles!$C$1:$C$208,0)),0))+(IF(Q70="",0,(HLOOKUP(CONCATENATE($I$23,-2),alles!$D$1:$AA$208,(MATCH(Q70,alles!$C$1:$C$208,0)),0)))))))</f>
        <v>13480.4</v>
      </c>
      <c r="L70" t="s">
        <v>269</v>
      </c>
    </row>
    <row r="71" spans="1:12" x14ac:dyDescent="0.2">
      <c r="A71" s="247" t="s">
        <v>38</v>
      </c>
      <c r="B71" s="248" t="s">
        <v>21</v>
      </c>
      <c r="C71" s="398">
        <f>(HLOOKUP(CONCATENATE($C$23,-1),alles!$D$1:$AA$208,(MATCH(L71,alles!$C$1:$C$208,0)),0))+(IF(M71="",0,(HLOOKUP(CONCATENATE($C$23,-1),alles!$D$1:$AA$208,(MATCH(M71,alles!$C$1:$C$208,0)),0))+(IF(N71="",0,HLOOKUP(CONCATENATE($C$23,-1),alles!$D$1:$AA$208,(MATCH(N71,alles!$C$1:$C$208,0)),0)))+(IF(O71="",0,HLOOKUP(CONCATENATE($C$23,-1),alles!$D$1:$AA$208,(MATCH(O71,alles!$C$1:$C$208,0)),0)))+(IF(P71="",0,HLOOKUP(CONCATENATE($C$23,-1),alles!$D$1:$AA$208,(MATCH(P71,alles!$C$1:$C$208,0)),0))+(IF(Q71="",0,(HLOOKUP(CONCATENATE($C$23,-1),alles!$D$1:$AA$208,(MATCH(Q71,alles!$C$1:$C$208,0)),0)))))))</f>
        <v>0</v>
      </c>
      <c r="D71" s="399">
        <f>(HLOOKUP(CONCATENATE($C$23,-2),alles!$D$1:$AA$208,(MATCH(L71,alles!$C$1:$C$208,0)),0))+(IF(M71="",0,(HLOOKUP(CONCATENATE($C$23,-2),alles!$D$1:$AA$208,(MATCH(M71,alles!$C$1:$C$208,0)),0))+(IF(N71="",0,HLOOKUP(CONCATENATE($C$23,-2),alles!$D$1:$AA$208,(MATCH(N71,alles!$C$1:$C$208,0)),0)))+(IF(O71="",0,HLOOKUP(CONCATENATE($C$23,-2),alles!$D$1:$AA$208,(MATCH(O71,alles!$C$1:$C$208,0)),0)))+(IF(P71="",0,HLOOKUP(CONCATENATE($C$23,-2),alles!$D$1:$AA$208,(MATCH(P71,alles!$C$1:$C$208,0)),0))+(IF(Q71="",0,(HLOOKUP(CONCATENATE($C$23,-2),alles!$D$1:$AA$208,(MATCH(Q71,alles!$C$1:$C$208,0)),0)))))))</f>
        <v>0</v>
      </c>
      <c r="E71" s="394">
        <f>(HLOOKUP(CONCATENATE($E$23,-1),alles!$D$1:$AA$208,(MATCH(L71,alles!$C$1:$C$208,0)),0))+(IF(M71="",0,(HLOOKUP(CONCATENATE($E$23,-1),alles!$D$1:$AA$208,(MATCH(M71,alles!$C$1:$C$208,0)),0))+(IF(N71="",0,HLOOKUP(CONCATENATE($E$23,-1),alles!$D$1:$AA$208,(MATCH(N71,alles!$C$1:$C$208,0)),0)))+(IF(O71="",0,HLOOKUP(CONCATENATE($E$23,-1),alles!$D$1:$AA$208,(MATCH(O71,alles!$C$1:$C$208,0)),0)))+(IF(P71="",0,HLOOKUP(CONCATENATE($E$23,-1),alles!$D$1:$AA$208,(MATCH(P71,alles!$C$1:$C$208,0)),0))+(IF(Q71="",0,(HLOOKUP(CONCATENATE($E$23,-1),alles!$D$1:$AA$208,(MATCH(Q71,alles!$C$1:$C$208,0)),0)))))))</f>
        <v>0</v>
      </c>
      <c r="F71" s="242">
        <f>(HLOOKUP(CONCATENATE($E$23,-2),alles!$D$1:$AA$208,(MATCH(L71,alles!$C$1:$C$208,0)),0))+(IF(M71="",0,(HLOOKUP(CONCATENATE($E$23,-2),alles!$D$1:$AA$208,(MATCH(M71,alles!$C$1:$C$208,0)),0))+(IF(N71="",0,HLOOKUP(CONCATENATE($E$23,-2),alles!$D$1:$AA$208,(MATCH(N71,alles!$C$1:$C$208,0)),0)))+(IF(O71="",0,HLOOKUP(CONCATENATE($E$23,-2),alles!$D$1:$AA$208,(MATCH(O71,alles!$C$1:$C$208,0)),0)))+(IF(P71="",0,HLOOKUP(CONCATENATE($E$23,-2),alles!$D$1:$AA$208,(MATCH(P71,alles!$C$1:$C$208,0)),0))+(IF(Q71="",0,(HLOOKUP(CONCATENATE($E$23,-2),alles!$D$1:$AA$208,(MATCH(Q71,alles!$C$1:$C$208,0)),0)))))))</f>
        <v>0</v>
      </c>
      <c r="G71" s="242">
        <f>(HLOOKUP(CONCATENATE($G$23,-1),alles!$D$1:$AA$208,(MATCH(L71,alles!$C$1:$C$208,0)),0))+(IF(M71="",0,(HLOOKUP(CONCATENATE($G$23,-1),alles!$D$1:$AA$208,(MATCH(M71,alles!$C$1:$C$208,0)),0))+(IF(N71="",0,HLOOKUP(CONCATENATE($G$23,-1),alles!$D$1:$AA$208,(MATCH(N71,alles!$C$1:$C$208,0)),0)))+(IF(O71="",0,HLOOKUP(CONCATENATE($G$23,-1),alles!$D$1:$AA$208,(MATCH(O71,alles!$C$1:$C$208,0)),0)))+(IF(P71="",0,HLOOKUP(CONCATENATE($G$23,-1),alles!$D$1:$AA$208,(MATCH(P71,alles!$C$1:$C$208,0)),0))+(IF(Q71="",0,(HLOOKUP(CONCATENATE($G$23,-1),alles!$D$1:$AA$208,(MATCH(Q71,alles!$C$1:$C$208,0)),0)))))))</f>
        <v>0</v>
      </c>
      <c r="H71" s="242">
        <f>(HLOOKUP(CONCATENATE($G$23,-2),alles!$D$1:$AA$208,(MATCH(L71,alles!$C$1:$C$208,0)),0))+(IF(M71="",0,(HLOOKUP(CONCATENATE($G$23,-2),alles!$D$1:$AA$208,(MATCH(M71,alles!$C$1:$C$208,0)),0))+(IF(N71="",0,HLOOKUP(CONCATENATE($G$23,-2),alles!$D$1:$AA$208,(MATCH(N71,alles!$C$1:$C$208,0)),0)))+(IF(O71="",0,HLOOKUP(CONCATENATE($G$23,-2),alles!$D$1:$AA$208,(MATCH(O71,alles!$C$1:$C$208,0)),0)))+(IF(P71="",0,HLOOKUP(CONCATENATE($G$23,-2),alles!$D$1:$AA$208,(MATCH(P71,alles!$C$1:$C$208,0)),0))+(IF(Q71="",0,(HLOOKUP(CONCATENATE($G$23,-2),alles!$D$1:$AA$208,(MATCH(Q71,alles!$C$1:$C$208,0)),0)))))))</f>
        <v>0</v>
      </c>
      <c r="I71" s="242">
        <f>(HLOOKUP(CONCATENATE($I$23,-1),alles!$D$1:$AA$208,(MATCH(L71,alles!$C$1:$C$208,0)),0))+(IF(M71="",0,(HLOOKUP(CONCATENATE($I$23,-1),alles!$D$1:$AA$208,(MATCH(M71,alles!$C$1:$C$208,0)),0))+(IF(N71="",0,HLOOKUP(CONCATENATE($I$23,-1),alles!$D$1:$AA$208,(MATCH(N71,alles!$C$1:$C$208,0)),0)))+(IF(O71="",0,HLOOKUP(CONCATENATE($I$23,-1),alles!$D$1:$AA$208,(MATCH(O71,alles!$C$1:$C$208,0)),0)))+(IF(P71="",0,HLOOKUP(CONCATENATE($I$23,-1),alles!$D$1:$AA$208,(MATCH(P71,alles!$C$1:$C$208,0)),0))+(IF(Q71="",0,(HLOOKUP(CONCATENATE($I$23,-1),alles!$D$1:$AA$208,(MATCH(Q71,alles!$C$1:$C$208,0)),0)))))))</f>
        <v>0</v>
      </c>
      <c r="J71" s="242">
        <f>(HLOOKUP(CONCATENATE($I$23,-2),alles!$D$1:$AA$208,(MATCH(L71,alles!$C$1:$C$208,0)),0))+(IF(M71="",0,(HLOOKUP(CONCATENATE($I$23,-2),alles!$D$1:$AA$208,(MATCH(M71,alles!$C$1:$C$208,0)),0))+(IF(N71="",0,HLOOKUP(CONCATENATE($I$23,-2),alles!$D$1:$AA$208,(MATCH(N71,alles!$C$1:$C$208,0)),0)))+(IF(O71="",0,HLOOKUP(CONCATENATE($I$23,-2),alles!$D$1:$AA$208,(MATCH(O71,alles!$C$1:$C$208,0)),0)))+(IF(P71="",0,HLOOKUP(CONCATENATE($I$23,-2),alles!$D$1:$AA$208,(MATCH(P71,alles!$C$1:$C$208,0)),0))+(IF(Q71="",0,(HLOOKUP(CONCATENATE($I$23,-2),alles!$D$1:$AA$208,(MATCH(Q71,alles!$C$1:$C$208,0)),0)))))))</f>
        <v>0</v>
      </c>
      <c r="L71" t="s">
        <v>270</v>
      </c>
    </row>
    <row r="72" spans="1:12" ht="17" thickBot="1" x14ac:dyDescent="0.25">
      <c r="A72" s="244"/>
      <c r="B72" s="392" t="s">
        <v>31</v>
      </c>
      <c r="C72" s="400">
        <f t="shared" ref="C72:J72" si="3">SUM(C70:C71)</f>
        <v>9120</v>
      </c>
      <c r="D72" s="401">
        <f t="shared" si="3"/>
        <v>9474.2999999999993</v>
      </c>
      <c r="E72" s="395">
        <f t="shared" si="3"/>
        <v>11996.7</v>
      </c>
      <c r="F72" s="246">
        <f t="shared" si="3"/>
        <v>12750</v>
      </c>
      <c r="G72" s="246">
        <f t="shared" si="3"/>
        <v>12988</v>
      </c>
      <c r="H72" s="246">
        <f t="shared" si="3"/>
        <v>12138.5</v>
      </c>
      <c r="I72" s="246">
        <f t="shared" si="3"/>
        <v>14287</v>
      </c>
      <c r="J72" s="246">
        <f t="shared" si="3"/>
        <v>13480.4</v>
      </c>
    </row>
    <row r="73" spans="1:12" ht="6" customHeight="1" x14ac:dyDescent="0.2">
      <c r="A73" s="234"/>
      <c r="B73" s="428"/>
      <c r="C73" s="429"/>
      <c r="D73" s="429"/>
      <c r="E73" s="429"/>
      <c r="F73" s="429"/>
      <c r="G73" s="429"/>
      <c r="H73" s="429"/>
      <c r="I73" s="429"/>
      <c r="J73" s="429"/>
    </row>
    <row r="74" spans="1:12" x14ac:dyDescent="0.2">
      <c r="A74" s="234"/>
      <c r="B74" s="428"/>
      <c r="C74" s="429"/>
      <c r="D74" s="429"/>
      <c r="E74" s="429"/>
      <c r="F74" s="429"/>
      <c r="G74" s="429"/>
      <c r="H74" s="429"/>
      <c r="I74" s="429"/>
      <c r="J74" s="429"/>
    </row>
    <row r="75" spans="1:12" x14ac:dyDescent="0.2">
      <c r="A75" s="234"/>
      <c r="B75" s="428"/>
      <c r="C75" s="429"/>
      <c r="D75" s="429"/>
      <c r="E75" s="429"/>
      <c r="F75" s="429"/>
      <c r="G75" s="429"/>
      <c r="H75" s="429"/>
      <c r="I75" s="429"/>
      <c r="J75" s="429"/>
    </row>
    <row r="76" spans="1:12" x14ac:dyDescent="0.2">
      <c r="A76" s="234"/>
      <c r="B76" s="428"/>
      <c r="C76" s="429"/>
      <c r="D76" s="429"/>
      <c r="E76" s="429"/>
      <c r="F76" s="429"/>
      <c r="G76" s="429"/>
      <c r="H76" s="429"/>
      <c r="I76" s="429"/>
      <c r="J76" s="429"/>
    </row>
    <row r="77" spans="1:12" x14ac:dyDescent="0.2">
      <c r="A77" s="234"/>
      <c r="B77" s="428"/>
      <c r="C77" s="429"/>
      <c r="D77" s="429"/>
      <c r="E77" s="429"/>
      <c r="F77" s="429"/>
      <c r="G77" s="429"/>
      <c r="H77" s="429"/>
      <c r="I77" s="429"/>
      <c r="J77" s="429"/>
    </row>
    <row r="78" spans="1:12" x14ac:dyDescent="0.2">
      <c r="A78" s="234"/>
      <c r="B78" s="428"/>
      <c r="C78" s="429"/>
      <c r="D78" s="429"/>
      <c r="E78" s="429"/>
      <c r="F78" s="429"/>
      <c r="G78" s="429"/>
      <c r="H78" s="429"/>
      <c r="I78" s="429"/>
      <c r="J78" s="429"/>
    </row>
    <row r="79" spans="1:12" x14ac:dyDescent="0.2">
      <c r="A79" s="234"/>
      <c r="B79" s="428"/>
      <c r="C79" s="429"/>
      <c r="D79" s="429"/>
      <c r="E79" s="429"/>
      <c r="F79" s="429"/>
      <c r="G79" s="429"/>
      <c r="H79" s="429"/>
      <c r="I79" s="429"/>
      <c r="J79" s="429"/>
    </row>
    <row r="80" spans="1:12" x14ac:dyDescent="0.2">
      <c r="A80" s="234"/>
      <c r="B80" s="428"/>
      <c r="C80" s="429"/>
      <c r="D80" s="429"/>
      <c r="E80" s="429"/>
      <c r="F80" s="429"/>
      <c r="G80" s="429"/>
      <c r="H80" s="429"/>
      <c r="I80" s="429"/>
      <c r="J80" s="429"/>
    </row>
    <row r="81" spans="1:10" x14ac:dyDescent="0.2">
      <c r="A81" s="234"/>
      <c r="B81" s="428"/>
      <c r="C81" s="429"/>
      <c r="D81" s="429"/>
      <c r="E81" s="429"/>
      <c r="F81" s="429"/>
      <c r="G81" s="429"/>
      <c r="H81" s="429"/>
      <c r="I81" s="429"/>
      <c r="J81" s="429"/>
    </row>
    <row r="82" spans="1:10" x14ac:dyDescent="0.2">
      <c r="A82" s="234"/>
      <c r="B82" s="428"/>
      <c r="C82" s="429"/>
      <c r="D82" s="429"/>
      <c r="E82" s="429"/>
      <c r="F82" s="429"/>
      <c r="G82" s="429"/>
      <c r="H82" s="429"/>
      <c r="I82" s="429"/>
      <c r="J82" s="429"/>
    </row>
    <row r="83" spans="1:10" x14ac:dyDescent="0.2">
      <c r="A83" s="234"/>
      <c r="B83" s="428"/>
      <c r="C83" s="429"/>
      <c r="D83" s="429"/>
      <c r="E83" s="429"/>
      <c r="F83" s="429"/>
      <c r="G83" s="429"/>
      <c r="H83" s="429"/>
      <c r="I83" s="429"/>
      <c r="J83" s="429"/>
    </row>
    <row r="84" spans="1:10" x14ac:dyDescent="0.2">
      <c r="A84" s="234"/>
      <c r="B84" s="428"/>
      <c r="C84" s="429"/>
      <c r="D84" s="429"/>
      <c r="E84" s="429"/>
      <c r="F84" s="429"/>
      <c r="G84" s="429"/>
      <c r="H84" s="429"/>
      <c r="I84" s="429"/>
      <c r="J84" s="429"/>
    </row>
    <row r="85" spans="1:10" x14ac:dyDescent="0.2">
      <c r="A85" s="234"/>
      <c r="B85" s="234"/>
      <c r="C85" s="234"/>
      <c r="D85" s="234"/>
      <c r="E85" s="234"/>
      <c r="F85" s="234"/>
      <c r="G85" s="234"/>
      <c r="H85" s="234"/>
      <c r="I85" s="234"/>
      <c r="J85" s="234"/>
    </row>
    <row r="86" spans="1:10" hidden="1" x14ac:dyDescent="0.2">
      <c r="A86" s="234" t="s">
        <v>253</v>
      </c>
      <c r="B86" s="234" t="s">
        <v>254</v>
      </c>
      <c r="C86" s="234"/>
      <c r="D86" s="234"/>
      <c r="E86" s="234"/>
      <c r="F86" s="234"/>
      <c r="G86" s="234"/>
      <c r="H86" s="234"/>
      <c r="I86" s="234"/>
      <c r="J86" s="234"/>
    </row>
    <row r="87" spans="1:10" hidden="1" x14ac:dyDescent="0.2">
      <c r="A87" s="234"/>
      <c r="B87" s="234"/>
      <c r="C87" s="234"/>
      <c r="D87" s="234"/>
      <c r="E87" s="234"/>
      <c r="F87" s="234"/>
      <c r="G87" s="234"/>
      <c r="H87" s="234"/>
      <c r="I87" s="234"/>
      <c r="J87" s="234"/>
    </row>
    <row r="88" spans="1:10" hidden="1" x14ac:dyDescent="0.2">
      <c r="A88" s="235"/>
      <c r="B88" s="236"/>
      <c r="C88" s="767">
        <f>Absoluut!$C$3</f>
        <v>2021</v>
      </c>
      <c r="D88" s="766"/>
      <c r="E88" s="767">
        <f>Absoluut!$E$3</f>
        <v>2023</v>
      </c>
      <c r="F88" s="766"/>
      <c r="G88" s="767">
        <f>Absoluut!$G$3</f>
        <v>2024</v>
      </c>
      <c r="H88" s="766"/>
      <c r="I88" s="767">
        <f>Absoluut!$I$3</f>
        <v>2025</v>
      </c>
      <c r="J88" s="766"/>
    </row>
    <row r="89" spans="1:10" hidden="1" x14ac:dyDescent="0.2">
      <c r="A89" s="237"/>
      <c r="B89" s="238"/>
      <c r="C89" s="239" t="s">
        <v>18</v>
      </c>
      <c r="D89" s="240" t="s">
        <v>19</v>
      </c>
      <c r="E89" s="239" t="s">
        <v>18</v>
      </c>
      <c r="F89" s="240" t="s">
        <v>19</v>
      </c>
      <c r="G89" s="239" t="s">
        <v>18</v>
      </c>
      <c r="H89" s="240" t="s">
        <v>19</v>
      </c>
      <c r="I89" s="239" t="s">
        <v>18</v>
      </c>
      <c r="J89" s="240" t="s">
        <v>19</v>
      </c>
    </row>
    <row r="90" spans="1:10" hidden="1" x14ac:dyDescent="0.2">
      <c r="A90" s="248"/>
      <c r="B90" s="249"/>
      <c r="C90" s="239"/>
      <c r="D90" s="240"/>
      <c r="E90" s="239"/>
      <c r="F90" s="240"/>
      <c r="G90" s="239"/>
      <c r="H90" s="240"/>
      <c r="I90" s="239"/>
      <c r="J90" s="240"/>
    </row>
    <row r="91" spans="1:10" hidden="1" x14ac:dyDescent="0.2">
      <c r="A91" s="241" t="s">
        <v>255</v>
      </c>
      <c r="B91" s="241" t="s">
        <v>256</v>
      </c>
      <c r="C91" s="242"/>
      <c r="D91" s="242"/>
      <c r="E91" s="242"/>
      <c r="F91" s="242"/>
      <c r="G91" s="242"/>
      <c r="H91" s="242"/>
      <c r="I91" s="242"/>
      <c r="J91" s="242"/>
    </row>
    <row r="92" spans="1:10" hidden="1" x14ac:dyDescent="0.2">
      <c r="A92" s="247" t="s">
        <v>257</v>
      </c>
      <c r="B92" s="247" t="s">
        <v>256</v>
      </c>
      <c r="C92" s="242"/>
      <c r="D92" s="242"/>
      <c r="E92" s="242"/>
      <c r="F92" s="242"/>
      <c r="G92" s="242"/>
      <c r="H92" s="242"/>
      <c r="I92" s="242"/>
      <c r="J92" s="242"/>
    </row>
    <row r="93" spans="1:10" hidden="1" x14ac:dyDescent="0.2">
      <c r="A93" s="247" t="s">
        <v>258</v>
      </c>
      <c r="B93" s="247" t="s">
        <v>256</v>
      </c>
      <c r="C93" s="242"/>
      <c r="D93" s="242"/>
      <c r="E93" s="242"/>
      <c r="F93" s="242"/>
      <c r="G93" s="242"/>
      <c r="H93" s="242"/>
      <c r="I93" s="242"/>
      <c r="J93" s="242"/>
    </row>
    <row r="94" spans="1:10" hidden="1" x14ac:dyDescent="0.2">
      <c r="A94" s="247" t="s">
        <v>259</v>
      </c>
      <c r="B94" s="247" t="s">
        <v>256</v>
      </c>
      <c r="C94" s="242"/>
      <c r="D94" s="242"/>
      <c r="E94" s="242"/>
      <c r="F94" s="242"/>
      <c r="G94" s="242"/>
      <c r="H94" s="242"/>
      <c r="I94" s="242"/>
      <c r="J94" s="242"/>
    </row>
    <row r="95" spans="1:10" hidden="1" x14ac:dyDescent="0.2">
      <c r="A95" s="247" t="s">
        <v>260</v>
      </c>
      <c r="B95" s="247" t="s">
        <v>256</v>
      </c>
      <c r="C95" s="242"/>
      <c r="D95" s="242"/>
      <c r="E95" s="242"/>
      <c r="F95" s="242"/>
      <c r="G95" s="242"/>
      <c r="H95" s="242"/>
      <c r="I95" s="242"/>
      <c r="J95" s="242"/>
    </row>
    <row r="96" spans="1:10" hidden="1" x14ac:dyDescent="0.2">
      <c r="A96" s="247" t="s">
        <v>261</v>
      </c>
      <c r="B96" s="247" t="s">
        <v>256</v>
      </c>
      <c r="C96" s="242"/>
      <c r="D96" s="242"/>
      <c r="E96" s="242"/>
      <c r="F96" s="242"/>
      <c r="G96" s="242"/>
      <c r="H96" s="242"/>
      <c r="I96" s="242"/>
      <c r="J96" s="242"/>
    </row>
    <row r="97" spans="1:10" hidden="1" x14ac:dyDescent="0.2">
      <c r="A97" s="243" t="s">
        <v>262</v>
      </c>
      <c r="B97" s="243" t="s">
        <v>256</v>
      </c>
      <c r="C97" s="242"/>
      <c r="D97" s="242"/>
      <c r="E97" s="242"/>
      <c r="F97" s="242"/>
      <c r="G97" s="242"/>
      <c r="H97" s="242"/>
      <c r="I97" s="242"/>
      <c r="J97" s="242"/>
    </row>
    <row r="98" spans="1:10" hidden="1" x14ac:dyDescent="0.2">
      <c r="A98" s="248"/>
      <c r="B98" s="249"/>
      <c r="C98" s="239"/>
      <c r="D98" s="240"/>
      <c r="E98" s="239"/>
      <c r="F98" s="240"/>
      <c r="G98" s="239"/>
      <c r="H98" s="240"/>
      <c r="I98" s="239"/>
      <c r="J98" s="240"/>
    </row>
    <row r="99" spans="1:10" hidden="1" x14ac:dyDescent="0.2">
      <c r="A99" s="241" t="s">
        <v>255</v>
      </c>
      <c r="B99" s="241" t="s">
        <v>256</v>
      </c>
      <c r="C99" s="242"/>
      <c r="D99" s="242"/>
      <c r="E99" s="242"/>
      <c r="F99" s="242"/>
      <c r="G99" s="242"/>
      <c r="H99" s="242"/>
      <c r="I99" s="242"/>
      <c r="J99" s="242"/>
    </row>
    <row r="100" spans="1:10" hidden="1" x14ac:dyDescent="0.2">
      <c r="A100" s="247" t="s">
        <v>257</v>
      </c>
      <c r="B100" s="247" t="s">
        <v>256</v>
      </c>
      <c r="C100" s="242"/>
      <c r="D100" s="242"/>
      <c r="E100" s="242"/>
      <c r="F100" s="242"/>
      <c r="G100" s="242"/>
      <c r="H100" s="242"/>
      <c r="I100" s="242"/>
      <c r="J100" s="242"/>
    </row>
    <row r="101" spans="1:10" hidden="1" x14ac:dyDescent="0.2">
      <c r="A101" s="247" t="s">
        <v>258</v>
      </c>
      <c r="B101" s="247" t="s">
        <v>256</v>
      </c>
      <c r="C101" s="242"/>
      <c r="D101" s="242"/>
      <c r="E101" s="242"/>
      <c r="F101" s="242"/>
      <c r="G101" s="242"/>
      <c r="H101" s="242"/>
      <c r="I101" s="242"/>
      <c r="J101" s="242"/>
    </row>
    <row r="102" spans="1:10" hidden="1" x14ac:dyDescent="0.2">
      <c r="A102" s="247" t="s">
        <v>259</v>
      </c>
      <c r="B102" s="247" t="s">
        <v>256</v>
      </c>
      <c r="C102" s="242"/>
      <c r="D102" s="242"/>
      <c r="E102" s="242"/>
      <c r="F102" s="242"/>
      <c r="G102" s="242"/>
      <c r="H102" s="242"/>
      <c r="I102" s="242"/>
      <c r="J102" s="242"/>
    </row>
    <row r="103" spans="1:10" hidden="1" x14ac:dyDescent="0.2">
      <c r="A103" s="247" t="s">
        <v>260</v>
      </c>
      <c r="B103" s="247" t="s">
        <v>256</v>
      </c>
      <c r="C103" s="242"/>
      <c r="D103" s="242"/>
      <c r="E103" s="242"/>
      <c r="F103" s="242"/>
      <c r="G103" s="242"/>
      <c r="H103" s="242"/>
      <c r="I103" s="242"/>
      <c r="J103" s="242"/>
    </row>
    <row r="104" spans="1:10" hidden="1" x14ac:dyDescent="0.2">
      <c r="A104" s="247" t="s">
        <v>261</v>
      </c>
      <c r="B104" s="247" t="s">
        <v>256</v>
      </c>
      <c r="C104" s="242"/>
      <c r="D104" s="242"/>
      <c r="E104" s="242"/>
      <c r="F104" s="242"/>
      <c r="G104" s="242"/>
      <c r="H104" s="242"/>
      <c r="I104" s="242"/>
      <c r="J104" s="242"/>
    </row>
    <row r="105" spans="1:10" hidden="1" x14ac:dyDescent="0.2">
      <c r="A105" s="247" t="s">
        <v>262</v>
      </c>
      <c r="B105" s="247" t="s">
        <v>256</v>
      </c>
      <c r="C105" s="242"/>
      <c r="D105" s="242"/>
      <c r="E105" s="242"/>
      <c r="F105" s="242"/>
      <c r="G105" s="242"/>
      <c r="H105" s="242"/>
      <c r="I105" s="242"/>
      <c r="J105" s="242"/>
    </row>
    <row r="106" spans="1:10" hidden="1" x14ac:dyDescent="0.2">
      <c r="A106" s="247"/>
      <c r="B106" s="247"/>
      <c r="C106" s="242"/>
      <c r="D106" s="242"/>
      <c r="E106" s="242"/>
      <c r="F106" s="242"/>
      <c r="G106" s="242"/>
      <c r="H106" s="242"/>
      <c r="I106" s="242"/>
      <c r="J106" s="242"/>
    </row>
    <row r="107" spans="1:10" hidden="1" x14ac:dyDescent="0.2">
      <c r="A107" s="247" t="s">
        <v>16</v>
      </c>
      <c r="B107" s="247" t="s">
        <v>21</v>
      </c>
      <c r="C107" s="242"/>
      <c r="D107" s="242"/>
      <c r="E107" s="242"/>
      <c r="F107" s="242"/>
      <c r="G107" s="242"/>
      <c r="H107" s="242"/>
      <c r="I107" s="242"/>
      <c r="J107" s="242"/>
    </row>
    <row r="108" spans="1:10" hidden="1" x14ac:dyDescent="0.2">
      <c r="A108" s="244"/>
      <c r="B108" s="245" t="s">
        <v>31</v>
      </c>
      <c r="C108" s="246">
        <f t="shared" ref="C108:J108" si="4">SUM(C91:C107)</f>
        <v>0</v>
      </c>
      <c r="D108" s="246">
        <f t="shared" si="4"/>
        <v>0</v>
      </c>
      <c r="E108" s="246">
        <f t="shared" si="4"/>
        <v>0</v>
      </c>
      <c r="F108" s="246">
        <f t="shared" si="4"/>
        <v>0</v>
      </c>
      <c r="G108" s="246">
        <f t="shared" si="4"/>
        <v>0</v>
      </c>
      <c r="H108" s="246">
        <f t="shared" si="4"/>
        <v>0</v>
      </c>
      <c r="I108" s="246">
        <f t="shared" si="4"/>
        <v>0</v>
      </c>
      <c r="J108" s="246">
        <f t="shared" si="4"/>
        <v>0</v>
      </c>
    </row>
    <row r="109" spans="1:10" hidden="1" x14ac:dyDescent="0.2">
      <c r="A109" s="234"/>
      <c r="B109" s="234"/>
      <c r="C109" s="234"/>
      <c r="D109" s="234"/>
      <c r="E109" s="234"/>
      <c r="F109" s="234"/>
      <c r="G109" s="234"/>
      <c r="H109" s="234"/>
      <c r="I109" s="234"/>
      <c r="J109" s="234"/>
    </row>
    <row r="110" spans="1:10" hidden="1" x14ac:dyDescent="0.2">
      <c r="A110" s="234" t="s">
        <v>263</v>
      </c>
      <c r="B110" s="234" t="s">
        <v>264</v>
      </c>
      <c r="C110" s="234"/>
      <c r="D110" s="234"/>
      <c r="E110" s="234"/>
      <c r="F110" s="234"/>
      <c r="G110" s="234"/>
      <c r="H110" s="234"/>
      <c r="I110" s="234"/>
      <c r="J110" s="234"/>
    </row>
    <row r="111" spans="1:10" hidden="1" x14ac:dyDescent="0.2">
      <c r="A111" s="234"/>
      <c r="B111" s="234"/>
      <c r="C111" s="234"/>
      <c r="D111" s="234"/>
      <c r="E111" s="234"/>
      <c r="F111" s="234"/>
      <c r="G111" s="234"/>
      <c r="H111" s="234"/>
      <c r="I111" s="234"/>
      <c r="J111" s="234"/>
    </row>
    <row r="112" spans="1:10" hidden="1" x14ac:dyDescent="0.2">
      <c r="A112" s="235"/>
      <c r="B112" s="236"/>
      <c r="C112" s="767">
        <f>Absoluut!$C$3</f>
        <v>2021</v>
      </c>
      <c r="D112" s="766"/>
      <c r="E112" s="767">
        <f>Absoluut!$E$3</f>
        <v>2023</v>
      </c>
      <c r="F112" s="766"/>
      <c r="G112" s="767">
        <f>Absoluut!$G$3</f>
        <v>2024</v>
      </c>
      <c r="H112" s="766"/>
      <c r="I112" s="767">
        <f>Absoluut!$I$3</f>
        <v>2025</v>
      </c>
      <c r="J112" s="766"/>
    </row>
    <row r="113" spans="1:12" hidden="1" x14ac:dyDescent="0.2">
      <c r="A113" s="237"/>
      <c r="B113" s="238"/>
      <c r="C113" s="239" t="s">
        <v>18</v>
      </c>
      <c r="D113" s="240" t="s">
        <v>19</v>
      </c>
      <c r="E113" s="239" t="s">
        <v>18</v>
      </c>
      <c r="F113" s="240" t="s">
        <v>19</v>
      </c>
      <c r="G113" s="239" t="s">
        <v>18</v>
      </c>
      <c r="H113" s="240" t="s">
        <v>19</v>
      </c>
      <c r="I113" s="239" t="s">
        <v>18</v>
      </c>
      <c r="J113" s="240" t="s">
        <v>19</v>
      </c>
    </row>
    <row r="114" spans="1:12" hidden="1" x14ac:dyDescent="0.2">
      <c r="A114" s="241"/>
      <c r="B114" s="241"/>
      <c r="C114" s="242"/>
      <c r="D114" s="242"/>
      <c r="E114" s="242"/>
      <c r="F114" s="242"/>
      <c r="G114" s="242"/>
      <c r="H114" s="242"/>
      <c r="I114" s="242"/>
      <c r="J114" s="242"/>
    </row>
    <row r="115" spans="1:12" hidden="1" x14ac:dyDescent="0.2">
      <c r="A115" s="247"/>
      <c r="B115" s="247"/>
      <c r="C115" s="242"/>
      <c r="D115" s="242"/>
      <c r="E115" s="242"/>
      <c r="F115" s="242"/>
      <c r="G115" s="242"/>
      <c r="H115" s="242"/>
      <c r="I115" s="242"/>
      <c r="J115" s="242"/>
    </row>
    <row r="116" spans="1:12" hidden="1" x14ac:dyDescent="0.2">
      <c r="A116" s="247"/>
      <c r="B116" s="247"/>
      <c r="C116" s="242"/>
      <c r="D116" s="242"/>
      <c r="E116" s="242"/>
      <c r="F116" s="242"/>
      <c r="G116" s="242"/>
      <c r="H116" s="242"/>
      <c r="I116" s="242"/>
      <c r="J116" s="242"/>
    </row>
    <row r="117" spans="1:12" hidden="1" x14ac:dyDescent="0.2">
      <c r="A117" s="247"/>
      <c r="B117" s="247"/>
      <c r="C117" s="242"/>
      <c r="D117" s="242"/>
      <c r="E117" s="242"/>
      <c r="F117" s="242"/>
      <c r="G117" s="242"/>
      <c r="H117" s="242"/>
      <c r="I117" s="242"/>
      <c r="J117" s="242"/>
    </row>
    <row r="118" spans="1:12" hidden="1" x14ac:dyDescent="0.2">
      <c r="A118" s="244"/>
      <c r="B118" s="245" t="s">
        <v>31</v>
      </c>
      <c r="C118" s="246">
        <f t="shared" ref="C118" si="5">SUM(C114:C117)</f>
        <v>0</v>
      </c>
      <c r="D118" s="246">
        <f t="shared" ref="D118:J118" si="6">SUM(D114:D117)</f>
        <v>0</v>
      </c>
      <c r="E118" s="246">
        <f t="shared" si="6"/>
        <v>0</v>
      </c>
      <c r="F118" s="246">
        <f t="shared" si="6"/>
        <v>0</v>
      </c>
      <c r="G118" s="246">
        <f t="shared" si="6"/>
        <v>0</v>
      </c>
      <c r="H118" s="246">
        <f t="shared" si="6"/>
        <v>0</v>
      </c>
      <c r="I118" s="246">
        <f t="shared" si="6"/>
        <v>0</v>
      </c>
      <c r="J118" s="246">
        <f t="shared" si="6"/>
        <v>0</v>
      </c>
    </row>
    <row r="119" spans="1:12" x14ac:dyDescent="0.2">
      <c r="A119" s="234"/>
      <c r="B119" s="234"/>
      <c r="C119" s="234"/>
      <c r="D119" s="234"/>
      <c r="E119" s="234"/>
      <c r="F119" s="234"/>
      <c r="G119" s="234"/>
      <c r="H119" s="234"/>
      <c r="I119" s="234"/>
      <c r="J119" s="234"/>
    </row>
    <row r="120" spans="1:12" x14ac:dyDescent="0.2">
      <c r="A120" s="234"/>
      <c r="B120" s="234" t="s">
        <v>265</v>
      </c>
      <c r="C120" s="234"/>
      <c r="D120" s="234"/>
      <c r="E120" s="234"/>
      <c r="F120" s="234"/>
      <c r="G120" s="234"/>
      <c r="H120" s="234"/>
      <c r="I120" s="234"/>
      <c r="J120" s="234"/>
    </row>
    <row r="121" spans="1:12" ht="6" customHeight="1" thickBot="1" x14ac:dyDescent="0.25">
      <c r="A121" s="234"/>
      <c r="B121" s="234"/>
      <c r="C121" s="234"/>
      <c r="D121" s="234"/>
      <c r="E121" s="234"/>
      <c r="F121" s="234"/>
      <c r="G121" s="234"/>
      <c r="H121" s="234"/>
      <c r="I121" s="234"/>
      <c r="J121" s="234"/>
    </row>
    <row r="122" spans="1:12" x14ac:dyDescent="0.2">
      <c r="A122" s="235"/>
      <c r="B122" s="390"/>
      <c r="C122" s="763">
        <f>Absoluut!$C$3</f>
        <v>2021</v>
      </c>
      <c r="D122" s="764"/>
      <c r="E122" s="765">
        <f>Absoluut!$E$3</f>
        <v>2023</v>
      </c>
      <c r="F122" s="766"/>
      <c r="G122" s="767">
        <f>Absoluut!$G$3</f>
        <v>2024</v>
      </c>
      <c r="H122" s="766"/>
      <c r="I122" s="767">
        <f>Absoluut!$I$3</f>
        <v>2025</v>
      </c>
      <c r="J122" s="766"/>
    </row>
    <row r="123" spans="1:12" x14ac:dyDescent="0.2">
      <c r="A123" s="237"/>
      <c r="B123" s="391"/>
      <c r="C123" s="396" t="s">
        <v>18</v>
      </c>
      <c r="D123" s="397" t="s">
        <v>19</v>
      </c>
      <c r="E123" s="393" t="s">
        <v>18</v>
      </c>
      <c r="F123" s="240" t="s">
        <v>19</v>
      </c>
      <c r="G123" s="239" t="s">
        <v>18</v>
      </c>
      <c r="H123" s="240" t="s">
        <v>19</v>
      </c>
      <c r="I123" s="239" t="s">
        <v>18</v>
      </c>
      <c r="J123" s="240" t="s">
        <v>19</v>
      </c>
    </row>
    <row r="124" spans="1:12" x14ac:dyDescent="0.2">
      <c r="A124" s="408" t="s">
        <v>606</v>
      </c>
      <c r="B124" s="235" t="s">
        <v>23</v>
      </c>
      <c r="C124" s="398">
        <f>(HLOOKUP(CONCATENATE($C$23,-1),alles!$D$1:$AA$208,(MATCH(L124,alles!$C$1:$C$208,0)),0))+(IF(M124="",0,(HLOOKUP(CONCATENATE($C$23,-1),alles!$D$1:$AA$208,(MATCH(M124,alles!$C$1:$C$208,0)),0))+(IF(N124="",0,HLOOKUP(CONCATENATE($C$23,-1),alles!$D$1:$AA$208,(MATCH(N124,alles!$C$1:$C$208,0)),0)))+(IF(O124="",0,HLOOKUP(CONCATENATE($C$23,-1),alles!$D$1:$AA$208,(MATCH(O124,alles!$C$1:$C$208,0)),0)))+(IF(P124="",0,HLOOKUP(CONCATENATE($C$23,-1),alles!$D$1:$AA$208,(MATCH(P124,alles!$C$1:$C$208,0)),0))+(IF(Q124="",0,(HLOOKUP(CONCATENATE($C$23,-1),alles!$D$1:$AA$208,(MATCH(Q124,alles!$C$1:$C$208,0)),0)))))))</f>
        <v>37794.166515489997</v>
      </c>
      <c r="D124" s="399">
        <f>(HLOOKUP(CONCATENATE($C$23,-2),alles!$D$1:$AA$208,(MATCH(L124,alles!$C$1:$C$208,0)),0))+(IF(M124="",0,(HLOOKUP(CONCATENATE($C$23,-2),alles!$D$1:$AA$208,(MATCH(M124,alles!$C$1:$C$208,0)),0))+(IF(N124="",0,HLOOKUP(CONCATENATE($C$23,-2),alles!$D$1:$AA$208,(MATCH(N124,alles!$C$1:$C$208,0)),0)))+(IF(O124="",0,HLOOKUP(CONCATENATE($C$23,-2),alles!$D$1:$AA$208,(MATCH(O124,alles!$C$1:$C$208,0)),0)))+(IF(P124="",0,HLOOKUP(CONCATENATE($C$23,-2),alles!$D$1:$AA$208,(MATCH(P124,alles!$C$1:$C$208,0)),0))+(IF(Q124="",0,(HLOOKUP(CONCATENATE($C$23,-2),alles!$D$1:$AA$208,(MATCH(Q124,alles!$C$1:$C$208,0)),0)))))))</f>
        <v>0</v>
      </c>
      <c r="E124" s="394">
        <f>(HLOOKUP(CONCATENATE($E$23,-1),alles!$D$1:$AA$208,(MATCH(L124,alles!$C$1:$C$208,0)),0))+(IF(M124="",0,(HLOOKUP(CONCATENATE($E$23,-1),alles!$D$1:$AA$208,(MATCH(M124,alles!$C$1:$C$208,0)),0))+(IF(N124="",0,HLOOKUP(CONCATENATE($E$23,-1),alles!$D$1:$AA$208,(MATCH(N124,alles!$C$1:$C$208,0)),0)))+(IF(O124="",0,HLOOKUP(CONCATENATE($E$23,-1),alles!$D$1:$AA$208,(MATCH(O124,alles!$C$1:$C$208,0)),0)))+(IF(P124="",0,HLOOKUP(CONCATENATE($E$23,-1),alles!$D$1:$AA$208,(MATCH(P124,alles!$C$1:$C$208,0)),0))+(IF(Q124="",0,(HLOOKUP(CONCATENATE($E$23,-1),alles!$D$1:$AA$208,(MATCH(Q124,alles!$C$1:$C$208,0)),0)))))))</f>
        <v>0</v>
      </c>
      <c r="F124" s="242">
        <f>(HLOOKUP(CONCATENATE($E$23,-2),alles!$D$1:$AA$208,(MATCH(L124,alles!$C$1:$C$208,0)),0))+(IF(M124="",0,(HLOOKUP(CONCATENATE($E$23,-2),alles!$D$1:$AA$208,(MATCH(M124,alles!$C$1:$C$208,0)),0))+(IF(N124="",0,HLOOKUP(CONCATENATE($E$23,-2),alles!$D$1:$AA$208,(MATCH(N124,alles!$C$1:$C$208,0)),0)))+(IF(O124="",0,HLOOKUP(CONCATENATE($E$23,-2),alles!$D$1:$AA$208,(MATCH(O124,alles!$C$1:$C$208,0)),0)))+(IF(P124="",0,HLOOKUP(CONCATENATE($E$23,-2),alles!$D$1:$AA$208,(MATCH(P124,alles!$C$1:$C$208,0)),0))+(IF(Q124="",0,(HLOOKUP(CONCATENATE($E$23,-2),alles!$D$1:$AA$208,(MATCH(Q124,alles!$C$1:$C$208,0)),0)))))))</f>
        <v>0</v>
      </c>
      <c r="G124" s="242">
        <f>(HLOOKUP(CONCATENATE($G$23,-1),alles!$D$1:$AA$208,(MATCH(L124,alles!$C$1:$C$208,0)),0))+(IF(M124="",0,(HLOOKUP(CONCATENATE($G$23,-1),alles!$D$1:$AA$208,(MATCH(M124,alles!$C$1:$C$208,0)),0))+(IF(N124="",0,HLOOKUP(CONCATENATE($G$23,-1),alles!$D$1:$AA$208,(MATCH(N124,alles!$C$1:$C$208,0)),0)))+(IF(O124="",0,HLOOKUP(CONCATENATE($G$23,-1),alles!$D$1:$AA$208,(MATCH(O124,alles!$C$1:$C$208,0)),0)))+(IF(P124="",0,HLOOKUP(CONCATENATE($G$23,-1),alles!$D$1:$AA$208,(MATCH(P124,alles!$C$1:$C$208,0)),0))+(IF(Q124="",0,(HLOOKUP(CONCATENATE($G$23,-1),alles!$D$1:$AA$208,(MATCH(Q124,alles!$C$1:$C$208,0)),0)))))))</f>
        <v>0</v>
      </c>
      <c r="H124" s="242">
        <f>(HLOOKUP(CONCATENATE($G$23,-2),alles!$D$1:$AA$208,(MATCH(L124,alles!$C$1:$C$208,0)),0))+(IF(M124="",0,(HLOOKUP(CONCATENATE($G$23,-2),alles!$D$1:$AA$208,(MATCH(M124,alles!$C$1:$C$208,0)),0))+(IF(N124="",0,HLOOKUP(CONCATENATE($G$23,-2),alles!$D$1:$AA$208,(MATCH(N124,alles!$C$1:$C$208,0)),0)))+(IF(O124="",0,HLOOKUP(CONCATENATE($G$23,-2),alles!$D$1:$AA$208,(MATCH(O124,alles!$C$1:$C$208,0)),0)))+(IF(P124="",0,HLOOKUP(CONCATENATE($G$23,-2),alles!$D$1:$AA$208,(MATCH(P124,alles!$C$1:$C$208,0)),0))+(IF(Q124="",0,(HLOOKUP(CONCATENATE($G$23,-2),alles!$D$1:$AA$208,(MATCH(Q124,alles!$C$1:$C$208,0)),0)))))))</f>
        <v>0</v>
      </c>
      <c r="I124" s="242">
        <f>(HLOOKUP(CONCATENATE($I$23,-1),alles!$D$1:$AA$208,(MATCH(L124,alles!$C$1:$C$208,0)),0))+(IF(M124="",0,(HLOOKUP(CONCATENATE($I$23,-1),alles!$D$1:$AA$208,(MATCH(M124,alles!$C$1:$C$208,0)),0))+(IF(N124="",0,HLOOKUP(CONCATENATE($I$23,-1),alles!$D$1:$AA$208,(MATCH(N124,alles!$C$1:$C$208,0)),0)))+(IF(O124="",0,HLOOKUP(CONCATENATE($I$23,-1),alles!$D$1:$AA$208,(MATCH(O124,alles!$C$1:$C$208,0)),0)))+(IF(P124="",0,HLOOKUP(CONCATENATE($I$23,-1),alles!$D$1:$AA$208,(MATCH(P124,alles!$C$1:$C$208,0)),0))+(IF(Q124="",0,(HLOOKUP(CONCATENATE($I$23,-1),alles!$D$1:$AA$208,(MATCH(Q124,alles!$C$1:$C$208,0)),0)))))))</f>
        <v>0</v>
      </c>
      <c r="J124" s="242">
        <f>(HLOOKUP(CONCATENATE($I$23,-2),alles!$D$1:$AA$208,(MATCH(L124,alles!$C$1:$C$208,0)),0))+(IF(M124="",0,(HLOOKUP(CONCATENATE($I$23,-2),alles!$D$1:$AA$208,(MATCH(M124,alles!$C$1:$C$208,0)),0))+(IF(N124="",0,HLOOKUP(CONCATENATE($I$23,-2),alles!$D$1:$AA$208,(MATCH(N124,alles!$C$1:$C$208,0)),0)))+(IF(O124="",0,HLOOKUP(CONCATENATE($I$23,-2),alles!$D$1:$AA$208,(MATCH(O124,alles!$C$1:$C$208,0)),0)))+(IF(P124="",0,HLOOKUP(CONCATENATE($I$23,-2),alles!$D$1:$AA$208,(MATCH(P124,alles!$C$1:$C$208,0)),0))+(IF(Q124="",0,(HLOOKUP(CONCATENATE($I$23,-2),alles!$D$1:$AA$208,(MATCH(Q124,alles!$C$1:$C$208,0)),0)))))))</f>
        <v>0</v>
      </c>
      <c r="L124" t="s">
        <v>322</v>
      </c>
    </row>
    <row r="125" spans="1:12" x14ac:dyDescent="0.2">
      <c r="A125" s="464" t="s">
        <v>607</v>
      </c>
      <c r="B125" s="466" t="s">
        <v>23</v>
      </c>
      <c r="C125" s="398">
        <f>(HLOOKUP(CONCATENATE($C$23,-1),alles!$D$1:$AA$208,(MATCH(L125,alles!$C$1:$C$208,0)),0))+(IF(M125="",0,(HLOOKUP(CONCATENATE($C$23,-1),alles!$D$1:$AA$208,(MATCH(M125,alles!$C$1:$C$208,0)),0))+(IF(N125="",0,HLOOKUP(CONCATENATE($C$23,-1),alles!$D$1:$AA$208,(MATCH(N125,alles!$C$1:$C$208,0)),0)))+(IF(O125="",0,HLOOKUP(CONCATENATE($C$23,-1),alles!$D$1:$AA$208,(MATCH(O125,alles!$C$1:$C$208,0)),0)))+(IF(P125="",0,HLOOKUP(CONCATENATE($C$23,-1),alles!$D$1:$AA$208,(MATCH(P125,alles!$C$1:$C$208,0)),0))+(IF(Q125="",0,(HLOOKUP(CONCATENATE($C$23,-1),alles!$D$1:$AA$208,(MATCH(Q125,alles!$C$1:$C$208,0)),0)))))))</f>
        <v>7558.8030980000003</v>
      </c>
      <c r="D125" s="399">
        <f>(HLOOKUP(CONCATENATE($C$23,-2),alles!$D$1:$AA$208,(MATCH(L125,alles!$C$1:$C$208,0)),0))+(IF(M125="",0,(HLOOKUP(CONCATENATE($C$23,-2),alles!$D$1:$AA$208,(MATCH(M125,alles!$C$1:$C$208,0)),0))+(IF(N125="",0,HLOOKUP(CONCATENATE($C$23,-2),alles!$D$1:$AA$208,(MATCH(N125,alles!$C$1:$C$208,0)),0)))+(IF(O125="",0,HLOOKUP(CONCATENATE($C$23,-2),alles!$D$1:$AA$208,(MATCH(O125,alles!$C$1:$C$208,0)),0)))+(IF(P125="",0,HLOOKUP(CONCATENATE($C$23,-2),alles!$D$1:$AA$208,(MATCH(P125,alles!$C$1:$C$208,0)),0))+(IF(Q125="",0,(HLOOKUP(CONCATENATE($C$23,-2),alles!$D$1:$AA$208,(MATCH(Q125,alles!$C$1:$C$208,0)),0)))))))</f>
        <v>41536</v>
      </c>
      <c r="E125" s="394">
        <f>(HLOOKUP(CONCATENATE($E$23,-1),alles!$D$1:$AA$208,(MATCH(L125,alles!$C$1:$C$208,0)),0))+(IF(M125="",0,(HLOOKUP(CONCATENATE($E$23,-1),alles!$D$1:$AA$208,(MATCH(M125,alles!$C$1:$C$208,0)),0))+(IF(N125="",0,HLOOKUP(CONCATENATE($E$23,-1),alles!$D$1:$AA$208,(MATCH(N125,alles!$C$1:$C$208,0)),0)))+(IF(O125="",0,HLOOKUP(CONCATENATE($E$23,-1),alles!$D$1:$AA$208,(MATCH(O125,alles!$C$1:$C$208,0)),0)))+(IF(P125="",0,HLOOKUP(CONCATENATE($E$23,-1),alles!$D$1:$AA$208,(MATCH(P125,alles!$C$1:$C$208,0)),0))+(IF(Q125="",0,(HLOOKUP(CONCATENATE($E$23,-1),alles!$D$1:$AA$208,(MATCH(Q125,alles!$C$1:$C$208,0)),0)))))))</f>
        <v>60040</v>
      </c>
      <c r="F125" s="242">
        <f>(HLOOKUP(CONCATENATE($E$23,-2),alles!$D$1:$AA$208,(MATCH(L125,alles!$C$1:$C$208,0)),0))+(IF(M125="",0,(HLOOKUP(CONCATENATE($E$23,-2),alles!$D$1:$AA$208,(MATCH(M125,alles!$C$1:$C$208,0)),0))+(IF(N125="",0,HLOOKUP(CONCATENATE($E$23,-2),alles!$D$1:$AA$208,(MATCH(N125,alles!$C$1:$C$208,0)),0)))+(IF(O125="",0,HLOOKUP(CONCATENATE($E$23,-2),alles!$D$1:$AA$208,(MATCH(O125,alles!$C$1:$C$208,0)),0)))+(IF(P125="",0,HLOOKUP(CONCATENATE($E$23,-2),alles!$D$1:$AA$208,(MATCH(P125,alles!$C$1:$C$208,0)),0))+(IF(Q125="",0,(HLOOKUP(CONCATENATE($E$23,-2),alles!$D$1:$AA$208,(MATCH(Q125,alles!$C$1:$C$208,0)),0)))))))</f>
        <v>42049</v>
      </c>
      <c r="G125" s="242">
        <f>(HLOOKUP(CONCATENATE($G$23,-1),alles!$D$1:$AA$208,(MATCH(L125,alles!$C$1:$C$208,0)),0))+(IF(M125="",0,(HLOOKUP(CONCATENATE($G$23,-1),alles!$D$1:$AA$208,(MATCH(M125,alles!$C$1:$C$208,0)),0))+(IF(N125="",0,HLOOKUP(CONCATENATE($G$23,-1),alles!$D$1:$AA$208,(MATCH(N125,alles!$C$1:$C$208,0)),0)))+(IF(O125="",0,HLOOKUP(CONCATENATE($G$23,-1),alles!$D$1:$AA$208,(MATCH(O125,alles!$C$1:$C$208,0)),0)))+(IF(P125="",0,HLOOKUP(CONCATENATE($G$23,-1),alles!$D$1:$AA$208,(MATCH(P125,alles!$C$1:$C$208,0)),0))+(IF(Q125="",0,(HLOOKUP(CONCATENATE($G$23,-1),alles!$D$1:$AA$208,(MATCH(Q125,alles!$C$1:$C$208,0)),0)))))))</f>
        <v>53736</v>
      </c>
      <c r="H125" s="242">
        <f>(HLOOKUP(CONCATENATE($G$23,-2),alles!$D$1:$AA$208,(MATCH(L125,alles!$C$1:$C$208,0)),0))+(IF(M125="",0,(HLOOKUP(CONCATENATE($G$23,-2),alles!$D$1:$AA$208,(MATCH(M125,alles!$C$1:$C$208,0)),0))+(IF(N125="",0,HLOOKUP(CONCATENATE($G$23,-2),alles!$D$1:$AA$208,(MATCH(N125,alles!$C$1:$C$208,0)),0)))+(IF(O125="",0,HLOOKUP(CONCATENATE($G$23,-2),alles!$D$1:$AA$208,(MATCH(O125,alles!$C$1:$C$208,0)),0)))+(IF(P125="",0,HLOOKUP(CONCATENATE($G$23,-2),alles!$D$1:$AA$208,(MATCH(P125,alles!$C$1:$C$208,0)),0))+(IF(Q125="",0,(HLOOKUP(CONCATENATE($G$23,-2),alles!$D$1:$AA$208,(MATCH(Q125,alles!$C$1:$C$208,0)),0)))))))</f>
        <v>50313</v>
      </c>
      <c r="I125" s="242">
        <f>(HLOOKUP(CONCATENATE($I$23,-1),alles!$D$1:$AA$208,(MATCH(L125,alles!$C$1:$C$208,0)),0))+(IF(M125="",0,(HLOOKUP(CONCATENATE($I$23,-1),alles!$D$1:$AA$208,(MATCH(M125,alles!$C$1:$C$208,0)),0))+(IF(N125="",0,HLOOKUP(CONCATENATE($I$23,-1),alles!$D$1:$AA$208,(MATCH(N125,alles!$C$1:$C$208,0)),0)))+(IF(O125="",0,HLOOKUP(CONCATENATE($I$23,-1),alles!$D$1:$AA$208,(MATCH(O125,alles!$C$1:$C$208,0)),0)))+(IF(P125="",0,HLOOKUP(CONCATENATE($I$23,-1),alles!$D$1:$AA$208,(MATCH(P125,alles!$C$1:$C$208,0)),0))+(IF(Q125="",0,(HLOOKUP(CONCATENATE($I$23,-1),alles!$D$1:$AA$208,(MATCH(Q125,alles!$C$1:$C$208,0)),0)))))))</f>
        <v>49387</v>
      </c>
      <c r="J125" s="242">
        <f>(HLOOKUP(CONCATENATE($I$23,-2),alles!$D$1:$AA$208,(MATCH(L125,alles!$C$1:$C$208,0)),0))+(IF(M125="",0,(HLOOKUP(CONCATENATE($I$23,-2),alles!$D$1:$AA$208,(MATCH(M125,alles!$C$1:$C$208,0)),0))+(IF(N125="",0,HLOOKUP(CONCATENATE($I$23,-2),alles!$D$1:$AA$208,(MATCH(N125,alles!$C$1:$C$208,0)),0)))+(IF(O125="",0,HLOOKUP(CONCATENATE($I$23,-2),alles!$D$1:$AA$208,(MATCH(O125,alles!$C$1:$C$208,0)),0)))+(IF(P125="",0,HLOOKUP(CONCATENATE($I$23,-2),alles!$D$1:$AA$208,(MATCH(P125,alles!$C$1:$C$208,0)),0))+(IF(Q125="",0,(HLOOKUP(CONCATENATE($I$23,-2),alles!$D$1:$AA$208,(MATCH(Q125,alles!$C$1:$C$208,0)),0)))))))</f>
        <v>50858</v>
      </c>
      <c r="L125" t="s">
        <v>324</v>
      </c>
    </row>
    <row r="126" spans="1:12" x14ac:dyDescent="0.2">
      <c r="A126" s="247" t="s">
        <v>438</v>
      </c>
      <c r="B126" s="248" t="s">
        <v>23</v>
      </c>
      <c r="C126" s="398">
        <f>(HLOOKUP(CONCATENATE($C$23,-1),alles!$D$1:$AA$208,(MATCH(L126,alles!$C$1:$C$208,0)),0))+(IF(M126="",0,(HLOOKUP(CONCATENATE($C$23,-1),alles!$D$1:$AA$208,(MATCH(M126,alles!$C$1:$C$208,0)),0))+(IF(N126="",0,HLOOKUP(CONCATENATE($C$23,-1),alles!$D$1:$AA$208,(MATCH(N126,alles!$C$1:$C$208,0)),0)))+(IF(O126="",0,HLOOKUP(CONCATENATE($C$23,-1),alles!$D$1:$AA$208,(MATCH(O126,alles!$C$1:$C$208,0)),0)))+(IF(P126="",0,HLOOKUP(CONCATENATE($C$23,-1),alles!$D$1:$AA$208,(MATCH(P126,alles!$C$1:$C$208,0)),0))+(IF(Q126="",0,(HLOOKUP(CONCATENATE($C$23,-1),alles!$D$1:$AA$208,(MATCH(Q126,alles!$C$1:$C$208,0)),0)))))))</f>
        <v>0</v>
      </c>
      <c r="D126" s="399">
        <f>(HLOOKUP(CONCATENATE($C$23,-2),alles!$D$1:$AA$208,(MATCH(L126,alles!$C$1:$C$208,0)),0))+(IF(M126="",0,(HLOOKUP(CONCATENATE($C$23,-2),alles!$D$1:$AA$208,(MATCH(M126,alles!$C$1:$C$208,0)),0))+(IF(N126="",0,HLOOKUP(CONCATENATE($C$23,-2),alles!$D$1:$AA$208,(MATCH(N126,alles!$C$1:$C$208,0)),0)))+(IF(O126="",0,HLOOKUP(CONCATENATE($C$23,-2),alles!$D$1:$AA$208,(MATCH(O126,alles!$C$1:$C$208,0)),0)))+(IF(P126="",0,HLOOKUP(CONCATENATE($C$23,-2),alles!$D$1:$AA$208,(MATCH(P126,alles!$C$1:$C$208,0)),0))+(IF(Q126="",0,(HLOOKUP(CONCATENATE($C$23,-2),alles!$D$1:$AA$208,(MATCH(Q126,alles!$C$1:$C$208,0)),0)))))))</f>
        <v>0</v>
      </c>
      <c r="E126" s="394">
        <f>(HLOOKUP(CONCATENATE($E$23,-1),alles!$D$1:$AA$208,(MATCH(L126,alles!$C$1:$C$208,0)),0))+(IF(M126="",0,(HLOOKUP(CONCATENATE($E$23,-1),alles!$D$1:$AA$208,(MATCH(M126,alles!$C$1:$C$208,0)),0))+(IF(N126="",0,HLOOKUP(CONCATENATE($E$23,-1),alles!$D$1:$AA$208,(MATCH(N126,alles!$C$1:$C$208,0)),0)))+(IF(O126="",0,HLOOKUP(CONCATENATE($E$23,-1),alles!$D$1:$AA$208,(MATCH(O126,alles!$C$1:$C$208,0)),0)))+(IF(P126="",0,HLOOKUP(CONCATENATE($E$23,-1),alles!$D$1:$AA$208,(MATCH(P126,alles!$C$1:$C$208,0)),0))+(IF(Q126="",0,(HLOOKUP(CONCATENATE($E$23,-1),alles!$D$1:$AA$208,(MATCH(Q126,alles!$C$1:$C$208,0)),0)))))))</f>
        <v>0</v>
      </c>
      <c r="F126" s="242">
        <f>(HLOOKUP(CONCATENATE($E$23,-2),alles!$D$1:$AA$208,(MATCH(L126,alles!$C$1:$C$208,0)),0))+(IF(M126="",0,(HLOOKUP(CONCATENATE($E$23,-2),alles!$D$1:$AA$208,(MATCH(M126,alles!$C$1:$C$208,0)),0))+(IF(N126="",0,HLOOKUP(CONCATENATE($E$23,-2),alles!$D$1:$AA$208,(MATCH(N126,alles!$C$1:$C$208,0)),0)))+(IF(O126="",0,HLOOKUP(CONCATENATE($E$23,-2),alles!$D$1:$AA$208,(MATCH(O126,alles!$C$1:$C$208,0)),0)))+(IF(P126="",0,HLOOKUP(CONCATENATE($E$23,-2),alles!$D$1:$AA$208,(MATCH(P126,alles!$C$1:$C$208,0)),0))+(IF(Q126="",0,(HLOOKUP(CONCATENATE($E$23,-2),alles!$D$1:$AA$208,(MATCH(Q126,alles!$C$1:$C$208,0)),0)))))))</f>
        <v>0</v>
      </c>
      <c r="G126" s="242">
        <f>(HLOOKUP(CONCATENATE($G$23,-1),alles!$D$1:$AA$208,(MATCH(L126,alles!$C$1:$C$208,0)),0))+(IF(M126="",0,(HLOOKUP(CONCATENATE($G$23,-1),alles!$D$1:$AA$208,(MATCH(M126,alles!$C$1:$C$208,0)),0))+(IF(N126="",0,HLOOKUP(CONCATENATE($G$23,-1),alles!$D$1:$AA$208,(MATCH(N126,alles!$C$1:$C$208,0)),0)))+(IF(O126="",0,HLOOKUP(CONCATENATE($G$23,-1),alles!$D$1:$AA$208,(MATCH(O126,alles!$C$1:$C$208,0)),0)))+(IF(P126="",0,HLOOKUP(CONCATENATE($G$23,-1),alles!$D$1:$AA$208,(MATCH(P126,alles!$C$1:$C$208,0)),0))+(IF(Q126="",0,(HLOOKUP(CONCATENATE($G$23,-1),alles!$D$1:$AA$208,(MATCH(Q126,alles!$C$1:$C$208,0)),0)))))))</f>
        <v>596.07000000000005</v>
      </c>
      <c r="H126" s="242">
        <f>(HLOOKUP(CONCATENATE($G$23,-2),alles!$D$1:$AA$208,(MATCH(L126,alles!$C$1:$C$208,0)),0))+(IF(M126="",0,(HLOOKUP(CONCATENATE($G$23,-2),alles!$D$1:$AA$208,(MATCH(M126,alles!$C$1:$C$208,0)),0))+(IF(N126="",0,HLOOKUP(CONCATENATE($G$23,-2),alles!$D$1:$AA$208,(MATCH(N126,alles!$C$1:$C$208,0)),0)))+(IF(O126="",0,HLOOKUP(CONCATENATE($G$23,-2),alles!$D$1:$AA$208,(MATCH(O126,alles!$C$1:$C$208,0)),0)))+(IF(P126="",0,HLOOKUP(CONCATENATE($G$23,-2),alles!$D$1:$AA$208,(MATCH(P126,alles!$C$1:$C$208,0)),0))+(IF(Q126="",0,(HLOOKUP(CONCATENATE($G$23,-2),alles!$D$1:$AA$208,(MATCH(Q126,alles!$C$1:$C$208,0)),0)))))))</f>
        <v>1567.83</v>
      </c>
      <c r="I126" s="242">
        <f>(HLOOKUP(CONCATENATE($I$23,-1),alles!$D$1:$AA$208,(MATCH(L126,alles!$C$1:$C$208,0)),0))+(IF(M126="",0,(HLOOKUP(CONCATENATE($I$23,-1),alles!$D$1:$AA$208,(MATCH(M126,alles!$C$1:$C$208,0)),0))+(IF(N126="",0,HLOOKUP(CONCATENATE($I$23,-1),alles!$D$1:$AA$208,(MATCH(N126,alles!$C$1:$C$208,0)),0)))+(IF(O126="",0,HLOOKUP(CONCATENATE($I$23,-1),alles!$D$1:$AA$208,(MATCH(O126,alles!$C$1:$C$208,0)),0)))+(IF(P126="",0,HLOOKUP(CONCATENATE($I$23,-1),alles!$D$1:$AA$208,(MATCH(P126,alles!$C$1:$C$208,0)),0))+(IF(Q126="",0,(HLOOKUP(CONCATENATE($I$23,-1),alles!$D$1:$AA$208,(MATCH(Q126,alles!$C$1:$C$208,0)),0)))))))</f>
        <v>1664.37</v>
      </c>
      <c r="J126" s="242">
        <f>(HLOOKUP(CONCATENATE($I$23,-2),alles!$D$1:$AA$208,(MATCH(L126,alles!$C$1:$C$208,0)),0))+(IF(M126="",0,(HLOOKUP(CONCATENATE($I$23,-2),alles!$D$1:$AA$208,(MATCH(M126,alles!$C$1:$C$208,0)),0))+(IF(N126="",0,HLOOKUP(CONCATENATE($I$23,-2),alles!$D$1:$AA$208,(MATCH(N126,alles!$C$1:$C$208,0)),0)))+(IF(O126="",0,HLOOKUP(CONCATENATE($I$23,-2),alles!$D$1:$AA$208,(MATCH(O126,alles!$C$1:$C$208,0)),0)))+(IF(P126="",0,HLOOKUP(CONCATENATE($I$23,-2),alles!$D$1:$AA$208,(MATCH(P126,alles!$C$1:$C$208,0)),0))+(IF(Q126="",0,(HLOOKUP(CONCATENATE($I$23,-2),alles!$D$1:$AA$208,(MATCH(Q126,alles!$C$1:$C$208,0)),0)))))))</f>
        <v>5889.67</v>
      </c>
      <c r="L126" t="s">
        <v>418</v>
      </c>
    </row>
    <row r="127" spans="1:12" ht="17" thickBot="1" x14ac:dyDescent="0.25">
      <c r="A127" s="244"/>
      <c r="B127" s="392" t="s">
        <v>31</v>
      </c>
      <c r="C127" s="400">
        <f t="shared" ref="C127:J127" si="7">SUM(C124:C126)</f>
        <v>45352.96961349</v>
      </c>
      <c r="D127" s="401">
        <f t="shared" si="7"/>
        <v>41536</v>
      </c>
      <c r="E127" s="395">
        <f t="shared" si="7"/>
        <v>60040</v>
      </c>
      <c r="F127" s="246">
        <f t="shared" si="7"/>
        <v>42049</v>
      </c>
      <c r="G127" s="246">
        <f t="shared" si="7"/>
        <v>54332.07</v>
      </c>
      <c r="H127" s="246">
        <f t="shared" si="7"/>
        <v>51880.83</v>
      </c>
      <c r="I127" s="246">
        <f t="shared" si="7"/>
        <v>51051.37</v>
      </c>
      <c r="J127" s="246">
        <f t="shared" si="7"/>
        <v>56747.67</v>
      </c>
    </row>
    <row r="128" spans="1:12" ht="6" customHeight="1" x14ac:dyDescent="0.2">
      <c r="A128" s="234"/>
      <c r="B128" s="428"/>
      <c r="C128" s="429"/>
      <c r="D128" s="429"/>
      <c r="E128" s="429"/>
      <c r="F128" s="429"/>
      <c r="G128" s="429"/>
      <c r="H128" s="429"/>
      <c r="I128" s="429"/>
      <c r="J128" s="429"/>
    </row>
    <row r="129" spans="1:10" x14ac:dyDescent="0.2">
      <c r="A129" s="234"/>
      <c r="B129" s="428"/>
      <c r="C129" s="429"/>
      <c r="D129" s="429"/>
      <c r="E129" s="429"/>
      <c r="F129" s="429"/>
      <c r="G129" s="429"/>
      <c r="H129" s="429"/>
      <c r="I129" s="429"/>
      <c r="J129" s="429"/>
    </row>
    <row r="130" spans="1:10" x14ac:dyDescent="0.2">
      <c r="A130" s="234"/>
      <c r="B130" s="428"/>
      <c r="C130" s="429"/>
      <c r="D130" s="429"/>
      <c r="E130" s="429"/>
      <c r="F130" s="429"/>
      <c r="G130" s="429"/>
      <c r="H130" s="429"/>
      <c r="I130" s="429"/>
      <c r="J130" s="429"/>
    </row>
    <row r="131" spans="1:10" x14ac:dyDescent="0.2">
      <c r="A131" s="234"/>
      <c r="B131" s="428"/>
      <c r="C131" s="429"/>
      <c r="D131" s="429"/>
      <c r="E131" s="429"/>
      <c r="F131" s="429"/>
      <c r="G131" s="429"/>
      <c r="H131" s="429"/>
      <c r="I131" s="429"/>
      <c r="J131" s="429"/>
    </row>
    <row r="132" spans="1:10" x14ac:dyDescent="0.2">
      <c r="A132" s="234"/>
      <c r="B132" s="428"/>
      <c r="C132" s="429"/>
      <c r="D132" s="429"/>
      <c r="E132" s="429"/>
      <c r="F132" s="429"/>
      <c r="G132" s="429"/>
      <c r="H132" s="429"/>
      <c r="I132" s="429"/>
      <c r="J132" s="429"/>
    </row>
    <row r="133" spans="1:10" x14ac:dyDescent="0.2">
      <c r="A133" s="234"/>
      <c r="B133" s="428"/>
      <c r="C133" s="429"/>
      <c r="D133" s="429"/>
      <c r="E133" s="429"/>
      <c r="F133" s="429"/>
      <c r="G133" s="429"/>
      <c r="H133" s="429"/>
      <c r="I133" s="429"/>
      <c r="J133" s="429"/>
    </row>
    <row r="134" spans="1:10" x14ac:dyDescent="0.2">
      <c r="A134" s="234"/>
      <c r="B134" s="428"/>
      <c r="C134" s="429"/>
      <c r="D134" s="429"/>
      <c r="E134" s="429"/>
      <c r="F134" s="429"/>
      <c r="G134" s="429"/>
      <c r="H134" s="429"/>
      <c r="I134" s="429"/>
      <c r="J134" s="429"/>
    </row>
    <row r="135" spans="1:10" x14ac:dyDescent="0.2">
      <c r="A135" s="234"/>
      <c r="B135" s="428"/>
      <c r="C135" s="429"/>
      <c r="D135" s="429"/>
      <c r="E135" s="429"/>
      <c r="F135" s="429"/>
      <c r="G135" s="429"/>
      <c r="H135" s="429"/>
      <c r="I135" s="429"/>
      <c r="J135" s="429"/>
    </row>
    <row r="136" spans="1:10" x14ac:dyDescent="0.2">
      <c r="A136" s="234"/>
      <c r="B136" s="428"/>
      <c r="C136" s="429"/>
      <c r="D136" s="429"/>
      <c r="E136" s="429"/>
      <c r="F136" s="429"/>
      <c r="G136" s="429"/>
      <c r="H136" s="429"/>
      <c r="I136" s="429"/>
      <c r="J136" s="429"/>
    </row>
    <row r="137" spans="1:10" x14ac:dyDescent="0.2">
      <c r="A137" s="234"/>
      <c r="B137" s="428"/>
      <c r="C137" s="429"/>
      <c r="D137" s="429"/>
      <c r="E137" s="429"/>
      <c r="F137" s="429"/>
      <c r="G137" s="429"/>
      <c r="H137" s="429"/>
      <c r="I137" s="429"/>
      <c r="J137" s="429"/>
    </row>
    <row r="138" spans="1:10" x14ac:dyDescent="0.2">
      <c r="A138" s="234"/>
      <c r="B138" s="428"/>
      <c r="C138" s="429"/>
      <c r="D138" s="429"/>
      <c r="E138" s="429"/>
      <c r="F138" s="429"/>
      <c r="G138" s="429"/>
      <c r="H138" s="429"/>
      <c r="I138" s="429"/>
      <c r="J138" s="429"/>
    </row>
    <row r="139" spans="1:10" x14ac:dyDescent="0.2">
      <c r="A139" s="234"/>
      <c r="B139" s="428"/>
      <c r="C139" s="429"/>
      <c r="D139" s="429"/>
      <c r="E139" s="429"/>
      <c r="F139" s="429"/>
      <c r="G139" s="429"/>
      <c r="H139" s="429"/>
      <c r="I139" s="429"/>
      <c r="J139" s="429"/>
    </row>
    <row r="140" spans="1:10" x14ac:dyDescent="0.2">
      <c r="A140" s="234"/>
      <c r="B140" s="234"/>
      <c r="C140" s="234"/>
      <c r="D140" s="234"/>
      <c r="E140" s="234"/>
      <c r="F140" s="234"/>
      <c r="G140" s="234"/>
      <c r="H140" s="234"/>
      <c r="I140" s="234"/>
      <c r="J140" s="234"/>
    </row>
    <row r="141" spans="1:10" x14ac:dyDescent="0.2">
      <c r="A141" s="234"/>
      <c r="B141" s="234" t="s">
        <v>175</v>
      </c>
      <c r="C141" s="234"/>
      <c r="D141" s="234"/>
      <c r="E141" s="234"/>
      <c r="F141" s="234"/>
      <c r="G141" s="234"/>
      <c r="H141" s="234"/>
      <c r="I141" s="234"/>
      <c r="J141" s="234"/>
    </row>
    <row r="142" spans="1:10" ht="6" customHeight="1" thickBot="1" x14ac:dyDescent="0.25">
      <c r="A142" s="234"/>
      <c r="B142" s="234"/>
      <c r="C142" s="234"/>
      <c r="D142" s="234"/>
      <c r="E142" s="234"/>
      <c r="F142" s="234"/>
      <c r="G142" s="234"/>
      <c r="H142" s="234"/>
      <c r="I142" s="234"/>
      <c r="J142" s="234"/>
    </row>
    <row r="143" spans="1:10" x14ac:dyDescent="0.2">
      <c r="A143" s="235"/>
      <c r="B143" s="390"/>
      <c r="C143" s="763">
        <f>Absoluut!$C$3</f>
        <v>2021</v>
      </c>
      <c r="D143" s="764"/>
      <c r="E143" s="765">
        <f>Absoluut!$E$3</f>
        <v>2023</v>
      </c>
      <c r="F143" s="766"/>
      <c r="G143" s="767">
        <f>Absoluut!$G$3</f>
        <v>2024</v>
      </c>
      <c r="H143" s="766"/>
      <c r="I143" s="767">
        <f>Absoluut!$I$3</f>
        <v>2025</v>
      </c>
      <c r="J143" s="766"/>
    </row>
    <row r="144" spans="1:10" x14ac:dyDescent="0.2">
      <c r="A144" s="237"/>
      <c r="B144" s="391"/>
      <c r="C144" s="396" t="s">
        <v>18</v>
      </c>
      <c r="D144" s="397" t="s">
        <v>19</v>
      </c>
      <c r="E144" s="393" t="s">
        <v>18</v>
      </c>
      <c r="F144" s="240" t="s">
        <v>19</v>
      </c>
      <c r="G144" s="239" t="s">
        <v>18</v>
      </c>
      <c r="H144" s="240" t="s">
        <v>19</v>
      </c>
      <c r="I144" s="239" t="s">
        <v>18</v>
      </c>
      <c r="J144" s="240" t="s">
        <v>19</v>
      </c>
    </row>
    <row r="145" spans="1:12" ht="31" x14ac:dyDescent="0.2">
      <c r="A145" s="712" t="s">
        <v>557</v>
      </c>
      <c r="B145" s="244" t="s">
        <v>24</v>
      </c>
      <c r="C145" s="398">
        <f>(HLOOKUP(CONCATENATE($C$23,-1),alles!$D$1:$AA$208,(MATCH(L145,alles!$C$1:$C$208,0)),0))+(IF(M145="",0,(HLOOKUP(CONCATENATE($C$23,-1),alles!$D$1:$AA$208,(MATCH(M145,alles!$C$1:$C$208,0)),0))+(IF(N145="",0,HLOOKUP(CONCATENATE($C$23,-1),alles!$D$1:$AA$208,(MATCH(N145,alles!$C$1:$C$208,0)),0)))+(IF(O145="",0,HLOOKUP(CONCATENATE($C$23,-1),alles!$D$1:$AA$208,(MATCH(O145,alles!$C$1:$C$208,0)),0)))+(IF(P145="",0,HLOOKUP(CONCATENATE($C$23,-1),alles!$D$1:$AA$208,(MATCH(P145,alles!$C$1:$C$208,0)),0))+(IF(Q145="",0,(HLOOKUP(CONCATENATE($C$23,-1),alles!$D$1:$AA$208,(MATCH(Q145,alles!$C$1:$C$208,0)),0)))))))</f>
        <v>93262</v>
      </c>
      <c r="D145" s="399">
        <f>(HLOOKUP(CONCATENATE($C$23,-2),alles!$D$1:$AA$208,(MATCH(L145,alles!$C$1:$C$208,0)),0))+(IF(M145="",0,(HLOOKUP(CONCATENATE($C$23,-2),alles!$D$1:$AA$208,(MATCH(M145,alles!$C$1:$C$208,0)),0))+(IF(N145="",0,HLOOKUP(CONCATENATE($C$23,-2),alles!$D$1:$AA$208,(MATCH(N145,alles!$C$1:$C$208,0)),0)))+(IF(O145="",0,HLOOKUP(CONCATENATE($C$23,-2),alles!$D$1:$AA$208,(MATCH(O145,alles!$C$1:$C$208,0)),0)))+(IF(P145="",0,HLOOKUP(CONCATENATE($C$23,-2),alles!$D$1:$AA$208,(MATCH(P145,alles!$C$1:$C$208,0)),0))+(IF(Q145="",0,(HLOOKUP(CONCATENATE($C$23,-2),alles!$D$1:$AA$208,(MATCH(Q145,alles!$C$1:$C$208,0)),0)))))))</f>
        <v>96852</v>
      </c>
      <c r="E145" s="394">
        <f>(HLOOKUP(CONCATENATE($E$23,-1),alles!$D$1:$AA$208,(MATCH(L145,alles!$C$1:$C$208,0)),0))+(IF(M145="",0,(HLOOKUP(CONCATENATE($E$23,-1),alles!$D$1:$AA$208,(MATCH(M145,alles!$C$1:$C$208,0)),0))+(IF(N145="",0,HLOOKUP(CONCATENATE($E$23,-1),alles!$D$1:$AA$208,(MATCH(N145,alles!$C$1:$C$208,0)),0)))+(IF(O145="",0,HLOOKUP(CONCATENATE($E$23,-1),alles!$D$1:$AA$208,(MATCH(O145,alles!$C$1:$C$208,0)),0)))+(IF(P145="",0,HLOOKUP(CONCATENATE($E$23,-1),alles!$D$1:$AA$208,(MATCH(P145,alles!$C$1:$C$208,0)),0))+(IF(Q145="",0,(HLOOKUP(CONCATENATE($E$23,-1),alles!$D$1:$AA$208,(MATCH(Q145,alles!$C$1:$C$208,0)),0)))))))</f>
        <v>0</v>
      </c>
      <c r="F145" s="242">
        <f>(HLOOKUP(CONCATENATE($E$23,-2),alles!$D$1:$AA$208,(MATCH(L145,alles!$C$1:$C$208,0)),0))+(IF(M145="",0,(HLOOKUP(CONCATENATE($E$23,-2),alles!$D$1:$AA$208,(MATCH(M145,alles!$C$1:$C$208,0)),0))+(IF(N145="",0,HLOOKUP(CONCATENATE($E$23,-2),alles!$D$1:$AA$208,(MATCH(N145,alles!$C$1:$C$208,0)),0)))+(IF(O145="",0,HLOOKUP(CONCATENATE($E$23,-2),alles!$D$1:$AA$208,(MATCH(O145,alles!$C$1:$C$208,0)),0)))+(IF(P145="",0,HLOOKUP(CONCATENATE($E$23,-2),alles!$D$1:$AA$208,(MATCH(P145,alles!$C$1:$C$208,0)),0))+(IF(Q145="",0,(HLOOKUP(CONCATENATE($E$23,-2),alles!$D$1:$AA$208,(MATCH(Q145,alles!$C$1:$C$208,0)),0)))))))</f>
        <v>0</v>
      </c>
      <c r="G145" s="242">
        <f>(HLOOKUP(CONCATENATE($G$23,-1),alles!$D$1:$AA$208,(MATCH(L145,alles!$C$1:$C$208,0)),0))+(IF(M145="",0,(HLOOKUP(CONCATENATE($G$23,-1),alles!$D$1:$AA$208,(MATCH(M145,alles!$C$1:$C$208,0)),0))+(IF(N145="",0,HLOOKUP(CONCATENATE($G$23,-1),alles!$D$1:$AA$208,(MATCH(N145,alles!$C$1:$C$208,0)),0)))+(IF(O145="",0,HLOOKUP(CONCATENATE($G$23,-1),alles!$D$1:$AA$208,(MATCH(O145,alles!$C$1:$C$208,0)),0)))+(IF(P145="",0,HLOOKUP(CONCATENATE($G$23,-1),alles!$D$1:$AA$208,(MATCH(P145,alles!$C$1:$C$208,0)),0))+(IF(Q145="",0,(HLOOKUP(CONCATENATE($G$23,-1),alles!$D$1:$AA$208,(MATCH(Q145,alles!$C$1:$C$208,0)),0)))))))</f>
        <v>0</v>
      </c>
      <c r="H145" s="242">
        <f>(HLOOKUP(CONCATENATE($G$23,-2),alles!$D$1:$AA$208,(MATCH(L145,alles!$C$1:$C$208,0)),0))+(IF(M145="",0,(HLOOKUP(CONCATENATE($G$23,-2),alles!$D$1:$AA$208,(MATCH(M145,alles!$C$1:$C$208,0)),0))+(IF(N145="",0,HLOOKUP(CONCATENATE($G$23,-2),alles!$D$1:$AA$208,(MATCH(N145,alles!$C$1:$C$208,0)),0)))+(IF(O145="",0,HLOOKUP(CONCATENATE($G$23,-2),alles!$D$1:$AA$208,(MATCH(O145,alles!$C$1:$C$208,0)),0)))+(IF(P145="",0,HLOOKUP(CONCATENATE($G$23,-2),alles!$D$1:$AA$208,(MATCH(P145,alles!$C$1:$C$208,0)),0))+(IF(Q145="",0,(HLOOKUP(CONCATENATE($G$23,-2),alles!$D$1:$AA$208,(MATCH(Q145,alles!$C$1:$C$208,0)),0)))))))</f>
        <v>0</v>
      </c>
      <c r="I145" s="242">
        <f>(HLOOKUP(CONCATENATE($I$23,-1),alles!$D$1:$AA$208,(MATCH(L145,alles!$C$1:$C$208,0)),0))+(IF(M145="",0,(HLOOKUP(CONCATENATE($I$23,-1),alles!$D$1:$AA$208,(MATCH(M145,alles!$C$1:$C$208,0)),0))+(IF(N145="",0,HLOOKUP(CONCATENATE($I$23,-1),alles!$D$1:$AA$208,(MATCH(N145,alles!$C$1:$C$208,0)),0)))+(IF(O145="",0,HLOOKUP(CONCATENATE($I$23,-1),alles!$D$1:$AA$208,(MATCH(O145,alles!$C$1:$C$208,0)),0)))+(IF(P145="",0,HLOOKUP(CONCATENATE($I$23,-1),alles!$D$1:$AA$208,(MATCH(P145,alles!$C$1:$C$208,0)),0))+(IF(Q145="",0,(HLOOKUP(CONCATENATE($I$23,-1),alles!$D$1:$AA$208,(MATCH(Q145,alles!$C$1:$C$208,0)),0)))))))</f>
        <v>0</v>
      </c>
      <c r="J145" s="242">
        <f>(HLOOKUP(CONCATENATE($I$23,-2),alles!$D$1:$AA$208,(MATCH(L145,alles!$C$1:$C$208,0)),0))+(IF(M145="",0,(HLOOKUP(CONCATENATE($I$23,-2),alles!$D$1:$AA$208,(MATCH(M145,alles!$C$1:$C$208,0)),0))+(IF(N145="",0,HLOOKUP(CONCATENATE($I$23,-2),alles!$D$1:$AA$208,(MATCH(N145,alles!$C$1:$C$208,0)),0)))+(IF(O145="",0,HLOOKUP(CONCATENATE($I$23,-2),alles!$D$1:$AA$208,(MATCH(O145,alles!$C$1:$C$208,0)),0)))+(IF(P145="",0,HLOOKUP(CONCATENATE($I$23,-2),alles!$D$1:$AA$208,(MATCH(P145,alles!$C$1:$C$208,0)),0))+(IF(Q145="",0,(HLOOKUP(CONCATENATE($I$23,-2),alles!$D$1:$AA$208,(MATCH(Q145,alles!$C$1:$C$208,0)),0)))))))</f>
        <v>0</v>
      </c>
      <c r="L145" s="1" t="s">
        <v>555</v>
      </c>
    </row>
    <row r="146" spans="1:12" ht="31" x14ac:dyDescent="0.2">
      <c r="A146" s="713" t="s">
        <v>558</v>
      </c>
      <c r="B146" s="237" t="s">
        <v>24</v>
      </c>
      <c r="C146" s="398">
        <f>(HLOOKUP(CONCATENATE($C$23,-1),alles!$D$1:$AA$208,(MATCH(L146,alles!$C$1:$C$208,0)),0))+(IF(M146="",0,(HLOOKUP(CONCATENATE($C$23,-1),alles!$D$1:$AA$208,(MATCH(M146,alles!$C$1:$C$208,0)),0))+(IF(N146="",0,HLOOKUP(CONCATENATE($C$23,-1),alles!$D$1:$AA$208,(MATCH(N146,alles!$C$1:$C$208,0)),0)))+(IF(O146="",0,HLOOKUP(CONCATENATE($C$23,-1),alles!$D$1:$AA$208,(MATCH(O146,alles!$C$1:$C$208,0)),0)))+(IF(P146="",0,HLOOKUP(CONCATENATE($C$23,-1),alles!$D$1:$AA$208,(MATCH(P146,alles!$C$1:$C$208,0)),0))+(IF(Q146="",0,(HLOOKUP(CONCATENATE($C$23,-1),alles!$D$1:$AA$208,(MATCH(Q146,alles!$C$1:$C$208,0)),0)))))))</f>
        <v>14648</v>
      </c>
      <c r="D146" s="399">
        <f>(HLOOKUP(CONCATENATE($C$23,-2),alles!$D$1:$AA$208,(MATCH(L146,alles!$C$1:$C$208,0)),0))+(IF(M146="",0,(HLOOKUP(CONCATENATE($C$23,-2),alles!$D$1:$AA$208,(MATCH(M146,alles!$C$1:$C$208,0)),0))+(IF(N146="",0,HLOOKUP(CONCATENATE($C$23,-2),alles!$D$1:$AA$208,(MATCH(N146,alles!$C$1:$C$208,0)),0)))+(IF(O146="",0,HLOOKUP(CONCATENATE($C$23,-2),alles!$D$1:$AA$208,(MATCH(O146,alles!$C$1:$C$208,0)),0)))+(IF(P146="",0,HLOOKUP(CONCATENATE($C$23,-2),alles!$D$1:$AA$208,(MATCH(P146,alles!$C$1:$C$208,0)),0))+(IF(Q146="",0,(HLOOKUP(CONCATENATE($C$23,-2),alles!$D$1:$AA$208,(MATCH(Q146,alles!$C$1:$C$208,0)),0)))))))</f>
        <v>11160</v>
      </c>
      <c r="E146" s="394">
        <f>(HLOOKUP(CONCATENATE($E$23,-1),alles!$D$1:$AA$208,(MATCH(L146,alles!$C$1:$C$208,0)),0))+(IF(M146="",0,(HLOOKUP(CONCATENATE($E$23,-1),alles!$D$1:$AA$208,(MATCH(M146,alles!$C$1:$C$208,0)),0))+(IF(N146="",0,HLOOKUP(CONCATENATE($E$23,-1),alles!$D$1:$AA$208,(MATCH(N146,alles!$C$1:$C$208,0)),0)))+(IF(O146="",0,HLOOKUP(CONCATENATE($E$23,-1),alles!$D$1:$AA$208,(MATCH(O146,alles!$C$1:$C$208,0)),0)))+(IF(P146="",0,HLOOKUP(CONCATENATE($E$23,-1),alles!$D$1:$AA$208,(MATCH(P146,alles!$C$1:$C$208,0)),0))+(IF(Q146="",0,(HLOOKUP(CONCATENATE($E$23,-1),alles!$D$1:$AA$208,(MATCH(Q146,alles!$C$1:$C$208,0)),0)))))))</f>
        <v>16972.5</v>
      </c>
      <c r="F146" s="242">
        <f>(HLOOKUP(CONCATENATE($E$23,-2),alles!$D$1:$AA$208,(MATCH(L146,alles!$C$1:$C$208,0)),0))+(IF(M146="",0,(HLOOKUP(CONCATENATE($E$23,-2),alles!$D$1:$AA$208,(MATCH(M146,alles!$C$1:$C$208,0)),0))+(IF(N146="",0,HLOOKUP(CONCATENATE($E$23,-2),alles!$D$1:$AA$208,(MATCH(N146,alles!$C$1:$C$208,0)),0)))+(IF(O146="",0,HLOOKUP(CONCATENATE($E$23,-2),alles!$D$1:$AA$208,(MATCH(O146,alles!$C$1:$C$208,0)),0)))+(IF(P146="",0,HLOOKUP(CONCATENATE($E$23,-2),alles!$D$1:$AA$208,(MATCH(P146,alles!$C$1:$C$208,0)),0))+(IF(Q146="",0,(HLOOKUP(CONCATENATE($E$23,-2),alles!$D$1:$AA$208,(MATCH(Q146,alles!$C$1:$C$208,0)),0)))))))</f>
        <v>20227.5</v>
      </c>
      <c r="G146" s="242">
        <f>(HLOOKUP(CONCATENATE($G$23,-1),alles!$D$1:$AA$208,(MATCH(L146,alles!$C$1:$C$208,0)),0))+(IF(M146="",0,(HLOOKUP(CONCATENATE($G$23,-1),alles!$D$1:$AA$208,(MATCH(M146,alles!$C$1:$C$208,0)),0))+(IF(N146="",0,HLOOKUP(CONCATENATE($G$23,-1),alles!$D$1:$AA$208,(MATCH(N146,alles!$C$1:$C$208,0)),0)))+(IF(O146="",0,HLOOKUP(CONCATENATE($G$23,-1),alles!$D$1:$AA$208,(MATCH(O146,alles!$C$1:$C$208,0)),0)))+(IF(P146="",0,HLOOKUP(CONCATENATE($G$23,-1),alles!$D$1:$AA$208,(MATCH(P146,alles!$C$1:$C$208,0)),0))+(IF(Q146="",0,(HLOOKUP(CONCATENATE($G$23,-1),alles!$D$1:$AA$208,(MATCH(Q146,alles!$C$1:$C$208,0)),0)))))))</f>
        <v>24180</v>
      </c>
      <c r="H146" s="242">
        <f>(HLOOKUP(CONCATENATE($G$23,-2),alles!$D$1:$AA$208,(MATCH(L146,alles!$C$1:$C$208,0)),0))+(IF(M146="",0,(HLOOKUP(CONCATENATE($G$23,-2),alles!$D$1:$AA$208,(MATCH(M146,alles!$C$1:$C$208,0)),0))+(IF(N146="",0,HLOOKUP(CONCATENATE($G$23,-2),alles!$D$1:$AA$208,(MATCH(N146,alles!$C$1:$C$208,0)),0)))+(IF(O146="",0,HLOOKUP(CONCATENATE($G$23,-2),alles!$D$1:$AA$208,(MATCH(O146,alles!$C$1:$C$208,0)),0)))+(IF(P146="",0,HLOOKUP(CONCATENATE($G$23,-2),alles!$D$1:$AA$208,(MATCH(P146,alles!$C$1:$C$208,0)),0))+(IF(Q146="",0,(HLOOKUP(CONCATENATE($G$23,-2),alles!$D$1:$AA$208,(MATCH(Q146,alles!$C$1:$C$208,0)),0)))))))</f>
        <v>26660</v>
      </c>
      <c r="I146" s="242">
        <f>(HLOOKUP(CONCATENATE($I$23,-1),alles!$D$1:$AA$208,(MATCH(L146,alles!$C$1:$C$208,0)),0))+(IF(M146="",0,(HLOOKUP(CONCATENATE($I$23,-1),alles!$D$1:$AA$208,(MATCH(M146,alles!$C$1:$C$208,0)),0))+(IF(N146="",0,HLOOKUP(CONCATENATE($I$23,-1),alles!$D$1:$AA$208,(MATCH(N146,alles!$C$1:$C$208,0)),0)))+(IF(O146="",0,HLOOKUP(CONCATENATE($I$23,-1),alles!$D$1:$AA$208,(MATCH(O146,alles!$C$1:$C$208,0)),0)))+(IF(P146="",0,HLOOKUP(CONCATENATE($I$23,-1),alles!$D$1:$AA$208,(MATCH(P146,alles!$C$1:$C$208,0)),0))+(IF(Q146="",0,(HLOOKUP(CONCATENATE($I$23,-1),alles!$D$1:$AA$208,(MATCH(Q146,alles!$C$1:$C$208,0)),0)))))))</f>
        <v>30225</v>
      </c>
      <c r="J146" s="242">
        <f>(HLOOKUP(CONCATENATE($I$23,-2),alles!$D$1:$AA$208,(MATCH(L146,alles!$C$1:$C$208,0)),0))+(IF(M146="",0,(HLOOKUP(CONCATENATE($I$23,-2),alles!$D$1:$AA$208,(MATCH(M146,alles!$C$1:$C$208,0)),0))+(IF(N146="",0,HLOOKUP(CONCATENATE($I$23,-2),alles!$D$1:$AA$208,(MATCH(N146,alles!$C$1:$C$208,0)),0)))+(IF(O146="",0,HLOOKUP(CONCATENATE($I$23,-2),alles!$D$1:$AA$208,(MATCH(O146,alles!$C$1:$C$208,0)),0)))+(IF(P146="",0,HLOOKUP(CONCATENATE($I$23,-2),alles!$D$1:$AA$208,(MATCH(P146,alles!$C$1:$C$208,0)),0))+(IF(Q146="",0,(HLOOKUP(CONCATENATE($I$23,-2),alles!$D$1:$AA$208,(MATCH(Q146,alles!$C$1:$C$208,0)),0)))))))</f>
        <v>36735</v>
      </c>
      <c r="L146" s="1" t="s">
        <v>556</v>
      </c>
    </row>
    <row r="147" spans="1:12" x14ac:dyDescent="0.2">
      <c r="A147" s="243" t="s">
        <v>15</v>
      </c>
      <c r="B147" s="237" t="s">
        <v>24</v>
      </c>
      <c r="C147" s="398">
        <f>(HLOOKUP(CONCATENATE($C$23,-1),alles!$D$1:$AA$208,(MATCH(L147,alles!$C$1:$C$208,0)),0))+(IF(M147="",0,(HLOOKUP(CONCATENATE($C$23,-1),alles!$D$1:$AA$208,(MATCH(M147,alles!$C$1:$C$208,0)),0))+(IF(N147="",0,HLOOKUP(CONCATENATE($C$23,-1),alles!$D$1:$AA$208,(MATCH(N147,alles!$C$1:$C$208,0)),0)))+(IF(O147="",0,HLOOKUP(CONCATENATE($C$23,-1),alles!$D$1:$AA$208,(MATCH(O147,alles!$C$1:$C$208,0)),0)))+(IF(P147="",0,HLOOKUP(CONCATENATE($C$23,-1),alles!$D$1:$AA$208,(MATCH(P147,alles!$C$1:$C$208,0)),0))+(IF(Q147="",0,(HLOOKUP(CONCATENATE($C$23,-1),alles!$D$1:$AA$208,(MATCH(Q147,alles!$C$1:$C$208,0)),0)))))))</f>
        <v>0</v>
      </c>
      <c r="D147" s="399">
        <f>(HLOOKUP(CONCATENATE($C$23,-2),alles!$D$1:$AA$208,(MATCH(L147,alles!$C$1:$C$208,0)),0))+(IF(M147="",0,(HLOOKUP(CONCATENATE($C$23,-2),alles!$D$1:$AA$208,(MATCH(M147,alles!$C$1:$C$208,0)),0))+(IF(N147="",0,HLOOKUP(CONCATENATE($C$23,-2),alles!$D$1:$AA$208,(MATCH(N147,alles!$C$1:$C$208,0)),0)))+(IF(O147="",0,HLOOKUP(CONCATENATE($C$23,-2),alles!$D$1:$AA$208,(MATCH(O147,alles!$C$1:$C$208,0)),0)))+(IF(P147="",0,HLOOKUP(CONCATENATE($C$23,-2),alles!$D$1:$AA$208,(MATCH(P147,alles!$C$1:$C$208,0)),0))+(IF(Q147="",0,(HLOOKUP(CONCATENATE($C$23,-2),alles!$D$1:$AA$208,(MATCH(Q147,alles!$C$1:$C$208,0)),0)))))))</f>
        <v>0</v>
      </c>
      <c r="E147" s="394">
        <f>(HLOOKUP(CONCATENATE($E$23,-1),alles!$D$1:$AA$208,(MATCH(L147,alles!$C$1:$C$208,0)),0))+(IF(M147="",0,(HLOOKUP(CONCATENATE($E$23,-1),alles!$D$1:$AA$208,(MATCH(M147,alles!$C$1:$C$208,0)),0))+(IF(N147="",0,HLOOKUP(CONCATENATE($E$23,-1),alles!$D$1:$AA$208,(MATCH(N147,alles!$C$1:$C$208,0)),0)))+(IF(O147="",0,HLOOKUP(CONCATENATE($E$23,-1),alles!$D$1:$AA$208,(MATCH(O147,alles!$C$1:$C$208,0)),0)))+(IF(P147="",0,HLOOKUP(CONCATENATE($E$23,-1),alles!$D$1:$AA$208,(MATCH(P147,alles!$C$1:$C$208,0)),0))+(IF(Q147="",0,(HLOOKUP(CONCATENATE($E$23,-1),alles!$D$1:$AA$208,(MATCH(Q147,alles!$C$1:$C$208,0)),0)))))))</f>
        <v>54686</v>
      </c>
      <c r="F147" s="242">
        <f>(HLOOKUP(CONCATENATE($E$23,-2),alles!$D$1:$AA$208,(MATCH(L147,alles!$C$1:$C$208,0)),0))+(IF(M147="",0,(HLOOKUP(CONCATENATE($E$23,-2),alles!$D$1:$AA$208,(MATCH(M147,alles!$C$1:$C$208,0)),0))+(IF(N147="",0,HLOOKUP(CONCATENATE($E$23,-2),alles!$D$1:$AA$208,(MATCH(N147,alles!$C$1:$C$208,0)),0)))+(IF(O147="",0,HLOOKUP(CONCATENATE($E$23,-2),alles!$D$1:$AA$208,(MATCH(O147,alles!$C$1:$C$208,0)),0)))+(IF(P147="",0,HLOOKUP(CONCATENATE($E$23,-2),alles!$D$1:$AA$208,(MATCH(P147,alles!$C$1:$C$208,0)),0))+(IF(Q147="",0,(HLOOKUP(CONCATENATE($E$23,-2),alles!$D$1:$AA$208,(MATCH(Q147,alles!$C$1:$C$208,0)),0)))))))</f>
        <v>62306</v>
      </c>
      <c r="G147" s="242">
        <f>(HLOOKUP(CONCATENATE($G$23,-1),alles!$D$1:$AA$208,(MATCH(L147,alles!$C$1:$C$208,0)),0))+(IF(M147="",0,(HLOOKUP(CONCATENATE($G$23,-1),alles!$D$1:$AA$208,(MATCH(M147,alles!$C$1:$C$208,0)),0))+(IF(N147="",0,HLOOKUP(CONCATENATE($G$23,-1),alles!$D$1:$AA$208,(MATCH(N147,alles!$C$1:$C$208,0)),0)))+(IF(O147="",0,HLOOKUP(CONCATENATE($G$23,-1),alles!$D$1:$AA$208,(MATCH(O147,alles!$C$1:$C$208,0)),0)))+(IF(P147="",0,HLOOKUP(CONCATENATE($G$23,-1),alles!$D$1:$AA$208,(MATCH(P147,alles!$C$1:$C$208,0)),0))+(IF(Q147="",0,(HLOOKUP(CONCATENATE($G$23,-1),alles!$D$1:$AA$208,(MATCH(Q147,alles!$C$1:$C$208,0)),0)))))))</f>
        <v>58500</v>
      </c>
      <c r="H147" s="242">
        <f>(HLOOKUP(CONCATENATE($G$23,-2),alles!$D$1:$AA$208,(MATCH(L147,alles!$C$1:$C$208,0)),0))+(IF(M147="",0,(HLOOKUP(CONCATENATE($G$23,-2),alles!$D$1:$AA$208,(MATCH(M147,alles!$C$1:$C$208,0)),0))+(IF(N147="",0,HLOOKUP(CONCATENATE($G$23,-2),alles!$D$1:$AA$208,(MATCH(N147,alles!$C$1:$C$208,0)),0)))+(IF(O147="",0,HLOOKUP(CONCATENATE($G$23,-2),alles!$D$1:$AA$208,(MATCH(O147,alles!$C$1:$C$208,0)),0)))+(IF(P147="",0,HLOOKUP(CONCATENATE($G$23,-2),alles!$D$1:$AA$208,(MATCH(P147,alles!$C$1:$C$208,0)),0))+(IF(Q147="",0,(HLOOKUP(CONCATENATE($G$23,-2),alles!$D$1:$AA$208,(MATCH(Q147,alles!$C$1:$C$208,0)),0)))))))</f>
        <v>67328.13</v>
      </c>
      <c r="I147" s="242">
        <f>(HLOOKUP(CONCATENATE($I$23,-1),alles!$D$1:$AA$208,(MATCH(L147,alles!$C$1:$C$208,0)),0))+(IF(M147="",0,(HLOOKUP(CONCATENATE($I$23,-1),alles!$D$1:$AA$208,(MATCH(M147,alles!$C$1:$C$208,0)),0))+(IF(N147="",0,HLOOKUP(CONCATENATE($I$23,-1),alles!$D$1:$AA$208,(MATCH(N147,alles!$C$1:$C$208,0)),0)))+(IF(O147="",0,HLOOKUP(CONCATENATE($I$23,-1),alles!$D$1:$AA$208,(MATCH(O147,alles!$C$1:$C$208,0)),0)))+(IF(P147="",0,HLOOKUP(CONCATENATE($I$23,-1),alles!$D$1:$AA$208,(MATCH(P147,alles!$C$1:$C$208,0)),0))+(IF(Q147="",0,(HLOOKUP(CONCATENATE($I$23,-1),alles!$D$1:$AA$208,(MATCH(Q147,alles!$C$1:$C$208,0)),0)))))))</f>
        <v>71842.5</v>
      </c>
      <c r="J147" s="242">
        <f>(HLOOKUP(CONCATENATE($I$23,-2),alles!$D$1:$AA$208,(MATCH(L147,alles!$C$1:$C$208,0)),0))+(IF(M147="",0,(HLOOKUP(CONCATENATE($I$23,-2),alles!$D$1:$AA$208,(MATCH(M147,alles!$C$1:$C$208,0)),0))+(IF(N147="",0,HLOOKUP(CONCATENATE($I$23,-2),alles!$D$1:$AA$208,(MATCH(N147,alles!$C$1:$C$208,0)),0)))+(IF(O147="",0,HLOOKUP(CONCATENATE($I$23,-2),alles!$D$1:$AA$208,(MATCH(O147,alles!$C$1:$C$208,0)),0)))+(IF(P147="",0,HLOOKUP(CONCATENATE($I$23,-2),alles!$D$1:$AA$208,(MATCH(P147,alles!$C$1:$C$208,0)),0))+(IF(Q147="",0,(HLOOKUP(CONCATENATE($I$23,-2),alles!$D$1:$AA$208,(MATCH(Q147,alles!$C$1:$C$208,0)),0)))))))</f>
        <v>79321.25</v>
      </c>
      <c r="L147" s="1" t="s">
        <v>331</v>
      </c>
    </row>
    <row r="148" spans="1:12" x14ac:dyDescent="0.2">
      <c r="A148" s="243" t="s">
        <v>14</v>
      </c>
      <c r="B148" s="237" t="s">
        <v>24</v>
      </c>
      <c r="C148" s="398">
        <f>(HLOOKUP(CONCATENATE($C$23,-1),alles!$D$1:$AA$208,(MATCH(L148,alles!$C$1:$C$208,0)),0))+(IF(M148="",0,(HLOOKUP(CONCATENATE($C$23,-1),alles!$D$1:$AA$208,(MATCH(M148,alles!$C$1:$C$208,0)),0))+(IF(N148="",0,HLOOKUP(CONCATENATE($C$23,-1),alles!$D$1:$AA$208,(MATCH(N148,alles!$C$1:$C$208,0)),0)))+(IF(O148="",0,HLOOKUP(CONCATENATE($C$23,-1),alles!$D$1:$AA$208,(MATCH(O148,alles!$C$1:$C$208,0)),0)))+(IF(P148="",0,HLOOKUP(CONCATENATE($C$23,-1),alles!$D$1:$AA$208,(MATCH(P148,alles!$C$1:$C$208,0)),0))+(IF(Q148="",0,(HLOOKUP(CONCATENATE($C$23,-1),alles!$D$1:$AA$208,(MATCH(Q148,alles!$C$1:$C$208,0)),0)))))))</f>
        <v>0</v>
      </c>
      <c r="D148" s="399">
        <f>(HLOOKUP(CONCATENATE($C$23,-2),alles!$D$1:$AA$208,(MATCH(L148,alles!$C$1:$C$208,0)),0))+(IF(M148="",0,(HLOOKUP(CONCATENATE($C$23,-2),alles!$D$1:$AA$208,(MATCH(M148,alles!$C$1:$C$208,0)),0))+(IF(N148="",0,HLOOKUP(CONCATENATE($C$23,-2),alles!$D$1:$AA$208,(MATCH(N148,alles!$C$1:$C$208,0)),0)))+(IF(O148="",0,HLOOKUP(CONCATENATE($C$23,-2),alles!$D$1:$AA$208,(MATCH(O148,alles!$C$1:$C$208,0)),0)))+(IF(P148="",0,HLOOKUP(CONCATENATE($C$23,-2),alles!$D$1:$AA$208,(MATCH(P148,alles!$C$1:$C$208,0)),0))+(IF(Q148="",0,(HLOOKUP(CONCATENATE($C$23,-2),alles!$D$1:$AA$208,(MATCH(Q148,alles!$C$1:$C$208,0)),0)))))))</f>
        <v>0</v>
      </c>
      <c r="E148" s="394">
        <f>(HLOOKUP(CONCATENATE($E$23,-1),alles!$D$1:$AA$208,(MATCH(L148,alles!$C$1:$C$208,0)),0))+(IF(M148="",0,(HLOOKUP(CONCATENATE($E$23,-1),alles!$D$1:$AA$208,(MATCH(M148,alles!$C$1:$C$208,0)),0))+(IF(N148="",0,HLOOKUP(CONCATENATE($E$23,-1),alles!$D$1:$AA$208,(MATCH(N148,alles!$C$1:$C$208,0)),0)))+(IF(O148="",0,HLOOKUP(CONCATENATE($E$23,-1),alles!$D$1:$AA$208,(MATCH(O148,alles!$C$1:$C$208,0)),0)))+(IF(P148="",0,HLOOKUP(CONCATENATE($E$23,-1),alles!$D$1:$AA$208,(MATCH(P148,alles!$C$1:$C$208,0)),0))+(IF(Q148="",0,(HLOOKUP(CONCATENATE($E$23,-1),alles!$D$1:$AA$208,(MATCH(Q148,alles!$C$1:$C$208,0)),0)))))))</f>
        <v>54686</v>
      </c>
      <c r="F148" s="242">
        <f>(HLOOKUP(CONCATENATE($E$23,-2),alles!$D$1:$AA$208,(MATCH(L148,alles!$C$1:$C$208,0)),0))+(IF(M148="",0,(HLOOKUP(CONCATENATE($E$23,-2),alles!$D$1:$AA$208,(MATCH(M148,alles!$C$1:$C$208,0)),0))+(IF(N148="",0,HLOOKUP(CONCATENATE($E$23,-2),alles!$D$1:$AA$208,(MATCH(N148,alles!$C$1:$C$208,0)),0)))+(IF(O148="",0,HLOOKUP(CONCATENATE($E$23,-2),alles!$D$1:$AA$208,(MATCH(O148,alles!$C$1:$C$208,0)),0)))+(IF(P148="",0,HLOOKUP(CONCATENATE($E$23,-2),alles!$D$1:$AA$208,(MATCH(P148,alles!$C$1:$C$208,0)),0))+(IF(Q148="",0,(HLOOKUP(CONCATENATE($E$23,-2),alles!$D$1:$AA$208,(MATCH(Q148,alles!$C$1:$C$208,0)),0)))))))</f>
        <v>62306</v>
      </c>
      <c r="G148" s="242">
        <f>(HLOOKUP(CONCATENATE($G$23,-1),alles!$D$1:$AA$208,(MATCH(L148,alles!$C$1:$C$208,0)),0))+(IF(M148="",0,(HLOOKUP(CONCATENATE($G$23,-1),alles!$D$1:$AA$208,(MATCH(M148,alles!$C$1:$C$208,0)),0))+(IF(N148="",0,HLOOKUP(CONCATENATE($G$23,-1),alles!$D$1:$AA$208,(MATCH(N148,alles!$C$1:$C$208,0)),0)))+(IF(O148="",0,HLOOKUP(CONCATENATE($G$23,-1),alles!$D$1:$AA$208,(MATCH(O148,alles!$C$1:$C$208,0)),0)))+(IF(P148="",0,HLOOKUP(CONCATENATE($G$23,-1),alles!$D$1:$AA$208,(MATCH(P148,alles!$C$1:$C$208,0)),0))+(IF(Q148="",0,(HLOOKUP(CONCATENATE($G$23,-1),alles!$D$1:$AA$208,(MATCH(Q148,alles!$C$1:$C$208,0)),0)))))))</f>
        <v>58500</v>
      </c>
      <c r="H148" s="242">
        <f>(HLOOKUP(CONCATENATE($G$23,-2),alles!$D$1:$AA$208,(MATCH(L148,alles!$C$1:$C$208,0)),0))+(IF(M148="",0,(HLOOKUP(CONCATENATE($G$23,-2),alles!$D$1:$AA$208,(MATCH(M148,alles!$C$1:$C$208,0)),0))+(IF(N148="",0,HLOOKUP(CONCATENATE($G$23,-2),alles!$D$1:$AA$208,(MATCH(N148,alles!$C$1:$C$208,0)),0)))+(IF(O148="",0,HLOOKUP(CONCATENATE($G$23,-2),alles!$D$1:$AA$208,(MATCH(O148,alles!$C$1:$C$208,0)),0)))+(IF(P148="",0,HLOOKUP(CONCATENATE($G$23,-2),alles!$D$1:$AA$208,(MATCH(P148,alles!$C$1:$C$208,0)),0))+(IF(Q148="",0,(HLOOKUP(CONCATENATE($G$23,-2),alles!$D$1:$AA$208,(MATCH(Q148,alles!$C$1:$C$208,0)),0)))))))</f>
        <v>67328.13</v>
      </c>
      <c r="I148" s="242">
        <f>(HLOOKUP(CONCATENATE($I$23,-1),alles!$D$1:$AA$208,(MATCH(L148,alles!$C$1:$C$208,0)),0))+(IF(M148="",0,(HLOOKUP(CONCATENATE($I$23,-1),alles!$D$1:$AA$208,(MATCH(M148,alles!$C$1:$C$208,0)),0))+(IF(N148="",0,HLOOKUP(CONCATENATE($I$23,-1),alles!$D$1:$AA$208,(MATCH(N148,alles!$C$1:$C$208,0)),0)))+(IF(O148="",0,HLOOKUP(CONCATENATE($I$23,-1),alles!$D$1:$AA$208,(MATCH(O148,alles!$C$1:$C$208,0)),0)))+(IF(P148="",0,HLOOKUP(CONCATENATE($I$23,-1),alles!$D$1:$AA$208,(MATCH(P148,alles!$C$1:$C$208,0)),0))+(IF(Q148="",0,(HLOOKUP(CONCATENATE($I$23,-1),alles!$D$1:$AA$208,(MATCH(Q148,alles!$C$1:$C$208,0)),0)))))))</f>
        <v>71842.5</v>
      </c>
      <c r="J148" s="242">
        <f>(HLOOKUP(CONCATENATE($I$23,-2),alles!$D$1:$AA$208,(MATCH(L148,alles!$C$1:$C$208,0)),0))+(IF(M148="",0,(HLOOKUP(CONCATENATE($I$23,-2),alles!$D$1:$AA$208,(MATCH(M148,alles!$C$1:$C$208,0)),0))+(IF(N148="",0,HLOOKUP(CONCATENATE($I$23,-2),alles!$D$1:$AA$208,(MATCH(N148,alles!$C$1:$C$208,0)),0)))+(IF(O148="",0,HLOOKUP(CONCATENATE($I$23,-2),alles!$D$1:$AA$208,(MATCH(O148,alles!$C$1:$C$208,0)),0)))+(IF(P148="",0,HLOOKUP(CONCATENATE($I$23,-2),alles!$D$1:$AA$208,(MATCH(P148,alles!$C$1:$C$208,0)),0))+(IF(Q148="",0,(HLOOKUP(CONCATENATE($I$23,-2),alles!$D$1:$AA$208,(MATCH(Q148,alles!$C$1:$C$208,0)),0)))))))</f>
        <v>79321.25</v>
      </c>
      <c r="L148" s="1" t="s">
        <v>332</v>
      </c>
    </row>
    <row r="149" spans="1:12" x14ac:dyDescent="0.2">
      <c r="A149" s="243" t="s">
        <v>16</v>
      </c>
      <c r="B149" s="237" t="s">
        <v>24</v>
      </c>
      <c r="C149" s="398">
        <f>(HLOOKUP(CONCATENATE($C$23,-1),alles!$D$1:$AA$208,(MATCH(L149,alles!$C$1:$C$208,0)),0))+(IF(M149="",0,(HLOOKUP(CONCATENATE($C$23,-1),alles!$D$1:$AA$208,(MATCH(M149,alles!$C$1:$C$208,0)),0))+(IF(N149="",0,HLOOKUP(CONCATENATE($C$23,-1),alles!$D$1:$AA$208,(MATCH(N149,alles!$C$1:$C$208,0)),0)))+(IF(O149="",0,HLOOKUP(CONCATENATE($C$23,-1),alles!$D$1:$AA$208,(MATCH(O149,alles!$C$1:$C$208,0)),0)))+(IF(P149="",0,HLOOKUP(CONCATENATE($C$23,-1),alles!$D$1:$AA$208,(MATCH(P149,alles!$C$1:$C$208,0)),0))+(IF(Q149="",0,(HLOOKUP(CONCATENATE($C$23,-1),alles!$D$1:$AA$208,(MATCH(Q149,alles!$C$1:$C$208,0)),0)))))))</f>
        <v>0</v>
      </c>
      <c r="D149" s="399">
        <f>(HLOOKUP(CONCATENATE($C$23,-2),alles!$D$1:$AA$208,(MATCH(L149,alles!$C$1:$C$208,0)),0))+(IF(M149="",0,(HLOOKUP(CONCATENATE($C$23,-2),alles!$D$1:$AA$208,(MATCH(M149,alles!$C$1:$C$208,0)),0))+(IF(N149="",0,HLOOKUP(CONCATENATE($C$23,-2),alles!$D$1:$AA$208,(MATCH(N149,alles!$C$1:$C$208,0)),0)))+(IF(O149="",0,HLOOKUP(CONCATENATE($C$23,-2),alles!$D$1:$AA$208,(MATCH(O149,alles!$C$1:$C$208,0)),0)))+(IF(P149="",0,HLOOKUP(CONCATENATE($C$23,-2),alles!$D$1:$AA$208,(MATCH(P149,alles!$C$1:$C$208,0)),0))+(IF(Q149="",0,(HLOOKUP(CONCATENATE($C$23,-2),alles!$D$1:$AA$208,(MATCH(Q149,alles!$C$1:$C$208,0)),0)))))))</f>
        <v>0</v>
      </c>
      <c r="E149" s="394">
        <f>(HLOOKUP(CONCATENATE($E$23,-1),alles!$D$1:$AA$208,(MATCH(L149,alles!$C$1:$C$208,0)),0))+(IF(M149="",0,(HLOOKUP(CONCATENATE($E$23,-1),alles!$D$1:$AA$208,(MATCH(M149,alles!$C$1:$C$208,0)),0))+(IF(N149="",0,HLOOKUP(CONCATENATE($E$23,-1),alles!$D$1:$AA$208,(MATCH(N149,alles!$C$1:$C$208,0)),0)))+(IF(O149="",0,HLOOKUP(CONCATENATE($E$23,-1),alles!$D$1:$AA$208,(MATCH(O149,alles!$C$1:$C$208,0)),0)))+(IF(P149="",0,HLOOKUP(CONCATENATE($E$23,-1),alles!$D$1:$AA$208,(MATCH(P149,alles!$C$1:$C$208,0)),0))+(IF(Q149="",0,(HLOOKUP(CONCATENATE($E$23,-1),alles!$D$1:$AA$208,(MATCH(Q149,alles!$C$1:$C$208,0)),0)))))))</f>
        <v>0</v>
      </c>
      <c r="F149" s="242">
        <f>(HLOOKUP(CONCATENATE($E$23,-2),alles!$D$1:$AA$208,(MATCH(L149,alles!$C$1:$C$208,0)),0))+(IF(M149="",0,(HLOOKUP(CONCATENATE($E$23,-2),alles!$D$1:$AA$208,(MATCH(M149,alles!$C$1:$C$208,0)),0))+(IF(N149="",0,HLOOKUP(CONCATENATE($E$23,-2),alles!$D$1:$AA$208,(MATCH(N149,alles!$C$1:$C$208,0)),0)))+(IF(O149="",0,HLOOKUP(CONCATENATE($E$23,-2),alles!$D$1:$AA$208,(MATCH(O149,alles!$C$1:$C$208,0)),0)))+(IF(P149="",0,HLOOKUP(CONCATENATE($E$23,-2),alles!$D$1:$AA$208,(MATCH(P149,alles!$C$1:$C$208,0)),0))+(IF(Q149="",0,(HLOOKUP(CONCATENATE($E$23,-2),alles!$D$1:$AA$208,(MATCH(Q149,alles!$C$1:$C$208,0)),0)))))))</f>
        <v>0</v>
      </c>
      <c r="G149" s="242">
        <f>(HLOOKUP(CONCATENATE($G$23,-1),alles!$D$1:$AA$208,(MATCH(L149,alles!$C$1:$C$208,0)),0))+(IF(M149="",0,(HLOOKUP(CONCATENATE($G$23,-1),alles!$D$1:$AA$208,(MATCH(M149,alles!$C$1:$C$208,0)),0))+(IF(N149="",0,HLOOKUP(CONCATENATE($G$23,-1),alles!$D$1:$AA$208,(MATCH(N149,alles!$C$1:$C$208,0)),0)))+(IF(O149="",0,HLOOKUP(CONCATENATE($G$23,-1),alles!$D$1:$AA$208,(MATCH(O149,alles!$C$1:$C$208,0)),0)))+(IF(P149="",0,HLOOKUP(CONCATENATE($G$23,-1),alles!$D$1:$AA$208,(MATCH(P149,alles!$C$1:$C$208,0)),0))+(IF(Q149="",0,(HLOOKUP(CONCATENATE($G$23,-1),alles!$D$1:$AA$208,(MATCH(Q149,alles!$C$1:$C$208,0)),0)))))))</f>
        <v>0</v>
      </c>
      <c r="H149" s="242">
        <f>(HLOOKUP(CONCATENATE($G$23,-2),alles!$D$1:$AA$208,(MATCH(L149,alles!$C$1:$C$208,0)),0))+(IF(M149="",0,(HLOOKUP(CONCATENATE($G$23,-2),alles!$D$1:$AA$208,(MATCH(M149,alles!$C$1:$C$208,0)),0))+(IF(N149="",0,HLOOKUP(CONCATENATE($G$23,-2),alles!$D$1:$AA$208,(MATCH(N149,alles!$C$1:$C$208,0)),0)))+(IF(O149="",0,HLOOKUP(CONCATENATE($G$23,-2),alles!$D$1:$AA$208,(MATCH(O149,alles!$C$1:$C$208,0)),0)))+(IF(P149="",0,HLOOKUP(CONCATENATE($G$23,-2),alles!$D$1:$AA$208,(MATCH(P149,alles!$C$1:$C$208,0)),0))+(IF(Q149="",0,(HLOOKUP(CONCATENATE($G$23,-2),alles!$D$1:$AA$208,(MATCH(Q149,alles!$C$1:$C$208,0)),0)))))))</f>
        <v>0</v>
      </c>
      <c r="I149" s="242">
        <f>(HLOOKUP(CONCATENATE($I$23,-1),alles!$D$1:$AA$208,(MATCH(L149,alles!$C$1:$C$208,0)),0))+(IF(M149="",0,(HLOOKUP(CONCATENATE($I$23,-1),alles!$D$1:$AA$208,(MATCH(M149,alles!$C$1:$C$208,0)),0))+(IF(N149="",0,HLOOKUP(CONCATENATE($I$23,-1),alles!$D$1:$AA$208,(MATCH(N149,alles!$C$1:$C$208,0)),0)))+(IF(O149="",0,HLOOKUP(CONCATENATE($I$23,-1),alles!$D$1:$AA$208,(MATCH(O149,alles!$C$1:$C$208,0)),0)))+(IF(P149="",0,HLOOKUP(CONCATENATE($I$23,-1),alles!$D$1:$AA$208,(MATCH(P149,alles!$C$1:$C$208,0)),0))+(IF(Q149="",0,(HLOOKUP(CONCATENATE($I$23,-1),alles!$D$1:$AA$208,(MATCH(Q149,alles!$C$1:$C$208,0)),0)))))))</f>
        <v>0</v>
      </c>
      <c r="J149" s="242">
        <f>(HLOOKUP(CONCATENATE($I$23,-2),alles!$D$1:$AA$208,(MATCH(L149,alles!$C$1:$C$208,0)),0))+(IF(M149="",0,(HLOOKUP(CONCATENATE($I$23,-2),alles!$D$1:$AA$208,(MATCH(M149,alles!$C$1:$C$208,0)),0))+(IF(N149="",0,HLOOKUP(CONCATENATE($I$23,-2),alles!$D$1:$AA$208,(MATCH(N149,alles!$C$1:$C$208,0)),0)))+(IF(O149="",0,HLOOKUP(CONCATENATE($I$23,-2),alles!$D$1:$AA$208,(MATCH(O149,alles!$C$1:$C$208,0)),0)))+(IF(P149="",0,HLOOKUP(CONCATENATE($I$23,-2),alles!$D$1:$AA$208,(MATCH(P149,alles!$C$1:$C$208,0)),0))+(IF(Q149="",0,(HLOOKUP(CONCATENATE($I$23,-2),alles!$D$1:$AA$208,(MATCH(Q149,alles!$C$1:$C$208,0)),0)))))))</f>
        <v>0</v>
      </c>
      <c r="L149" s="1" t="s">
        <v>333</v>
      </c>
    </row>
    <row r="150" spans="1:12" ht="17" thickBot="1" x14ac:dyDescent="0.25">
      <c r="A150" s="244"/>
      <c r="B150" s="392" t="s">
        <v>31</v>
      </c>
      <c r="C150" s="400">
        <f t="shared" ref="C150:J150" si="8">SUM(C145:C149)</f>
        <v>107910</v>
      </c>
      <c r="D150" s="714">
        <f t="shared" si="8"/>
        <v>108012</v>
      </c>
      <c r="E150" s="395">
        <f t="shared" si="8"/>
        <v>126344.5</v>
      </c>
      <c r="F150" s="395">
        <f t="shared" si="8"/>
        <v>144839.5</v>
      </c>
      <c r="G150" s="395">
        <f t="shared" si="8"/>
        <v>141180</v>
      </c>
      <c r="H150" s="395">
        <f t="shared" si="8"/>
        <v>161316.26</v>
      </c>
      <c r="I150" s="395">
        <f t="shared" si="8"/>
        <v>173910</v>
      </c>
      <c r="J150" s="395">
        <f t="shared" si="8"/>
        <v>195377.5</v>
      </c>
    </row>
    <row r="151" spans="1:12" ht="6" customHeight="1" x14ac:dyDescent="0.2">
      <c r="A151" s="234"/>
      <c r="B151" s="428"/>
      <c r="C151" s="429"/>
      <c r="D151" s="429"/>
      <c r="E151" s="429"/>
      <c r="F151" s="429"/>
      <c r="G151" s="429"/>
      <c r="H151" s="429"/>
      <c r="I151" s="429"/>
      <c r="J151" s="429"/>
    </row>
    <row r="152" spans="1:12" x14ac:dyDescent="0.2">
      <c r="A152" s="234"/>
      <c r="B152" s="428"/>
      <c r="C152" s="429"/>
      <c r="D152" s="429"/>
      <c r="E152" s="429"/>
      <c r="F152" s="429"/>
      <c r="G152" s="429"/>
      <c r="H152" s="429"/>
      <c r="I152" s="429"/>
      <c r="J152" s="429"/>
    </row>
    <row r="153" spans="1:12" x14ac:dyDescent="0.2">
      <c r="A153" s="234"/>
      <c r="B153" s="428"/>
      <c r="C153" s="429"/>
      <c r="D153" s="429"/>
      <c r="E153" s="429"/>
      <c r="F153" s="429"/>
      <c r="G153" s="429"/>
      <c r="H153" s="429"/>
      <c r="I153" s="429"/>
      <c r="J153" s="429"/>
    </row>
    <row r="154" spans="1:12" x14ac:dyDescent="0.2">
      <c r="A154" s="234"/>
      <c r="B154" s="428"/>
      <c r="C154" s="429"/>
      <c r="D154" s="429"/>
      <c r="E154" s="429"/>
      <c r="F154" s="429"/>
      <c r="G154" s="429"/>
      <c r="H154" s="429"/>
      <c r="I154" s="429"/>
      <c r="J154" s="429"/>
    </row>
    <row r="155" spans="1:12" x14ac:dyDescent="0.2">
      <c r="A155" s="234"/>
      <c r="B155" s="428"/>
      <c r="C155" s="429"/>
      <c r="D155" s="429"/>
      <c r="E155" s="429"/>
      <c r="F155" s="429"/>
      <c r="G155" s="429"/>
      <c r="H155" s="429"/>
      <c r="I155" s="429"/>
      <c r="J155" s="429"/>
    </row>
    <row r="156" spans="1:12" x14ac:dyDescent="0.2">
      <c r="A156" s="234"/>
      <c r="B156" s="428"/>
      <c r="C156" s="429"/>
      <c r="D156" s="429"/>
      <c r="E156" s="429"/>
      <c r="F156" s="429"/>
      <c r="G156" s="429"/>
      <c r="H156" s="429"/>
      <c r="I156" s="429"/>
      <c r="J156" s="429"/>
    </row>
    <row r="157" spans="1:12" x14ac:dyDescent="0.2">
      <c r="A157" s="234"/>
      <c r="B157" s="428"/>
      <c r="C157" s="429"/>
      <c r="D157" s="429"/>
      <c r="E157" s="429"/>
      <c r="F157" s="429"/>
      <c r="G157" s="429"/>
      <c r="H157" s="429"/>
      <c r="I157" s="429"/>
      <c r="J157" s="429"/>
    </row>
    <row r="158" spans="1:12" x14ac:dyDescent="0.2">
      <c r="A158" s="234"/>
      <c r="B158" s="428"/>
      <c r="C158" s="429"/>
      <c r="D158" s="429"/>
      <c r="E158" s="429"/>
      <c r="F158" s="429"/>
      <c r="G158" s="429"/>
      <c r="H158" s="429"/>
      <c r="I158" s="429"/>
      <c r="J158" s="429"/>
    </row>
    <row r="159" spans="1:12" x14ac:dyDescent="0.2">
      <c r="A159" s="234"/>
      <c r="B159" s="428"/>
      <c r="C159" s="429"/>
      <c r="D159" s="429"/>
      <c r="E159" s="429"/>
      <c r="F159" s="429"/>
      <c r="G159" s="429"/>
      <c r="H159" s="429"/>
      <c r="I159" s="429"/>
      <c r="J159" s="429"/>
    </row>
    <row r="160" spans="1:12" x14ac:dyDescent="0.2">
      <c r="A160" s="234"/>
      <c r="B160" s="428"/>
      <c r="C160" s="429"/>
      <c r="D160" s="429"/>
      <c r="E160" s="429"/>
      <c r="F160" s="429"/>
      <c r="G160" s="429"/>
      <c r="H160" s="429"/>
      <c r="I160" s="429"/>
      <c r="J160" s="429"/>
    </row>
    <row r="161" spans="1:12" x14ac:dyDescent="0.2">
      <c r="A161" s="234"/>
      <c r="B161" s="428"/>
      <c r="C161" s="429"/>
      <c r="D161" s="429"/>
      <c r="E161" s="429"/>
      <c r="F161" s="429"/>
      <c r="G161" s="429"/>
      <c r="H161" s="429"/>
      <c r="I161" s="429"/>
      <c r="J161" s="429"/>
    </row>
    <row r="162" spans="1:12" x14ac:dyDescent="0.2">
      <c r="A162" s="234"/>
      <c r="B162" s="428"/>
      <c r="C162" s="429"/>
      <c r="D162" s="429"/>
      <c r="E162" s="429"/>
      <c r="F162" s="429"/>
      <c r="G162" s="429"/>
      <c r="H162" s="429"/>
      <c r="I162" s="429"/>
      <c r="J162" s="429"/>
    </row>
    <row r="163" spans="1:12" x14ac:dyDescent="0.2">
      <c r="A163" s="234"/>
      <c r="B163" s="234"/>
      <c r="C163" s="234"/>
      <c r="D163" s="234"/>
      <c r="E163" s="234"/>
      <c r="F163" s="234"/>
      <c r="G163" s="234"/>
      <c r="H163" s="234"/>
      <c r="I163" s="234"/>
      <c r="J163" s="234"/>
    </row>
    <row r="164" spans="1:12" x14ac:dyDescent="0.2">
      <c r="A164" s="234"/>
      <c r="B164" s="234" t="s">
        <v>273</v>
      </c>
      <c r="C164" s="234"/>
      <c r="D164" s="234"/>
      <c r="E164" s="234"/>
      <c r="F164" s="234"/>
      <c r="G164" s="234"/>
      <c r="H164" s="234"/>
      <c r="I164" s="234"/>
      <c r="J164" s="234"/>
    </row>
    <row r="165" spans="1:12" ht="6" customHeight="1" thickBot="1" x14ac:dyDescent="0.25">
      <c r="A165" s="234"/>
      <c r="B165" s="234"/>
      <c r="C165" s="234"/>
      <c r="D165" s="234"/>
      <c r="E165" s="234"/>
      <c r="F165" s="234"/>
      <c r="G165" s="234"/>
      <c r="H165" s="234"/>
      <c r="I165" s="234"/>
      <c r="J165" s="234"/>
    </row>
    <row r="166" spans="1:12" x14ac:dyDescent="0.2">
      <c r="A166" s="235"/>
      <c r="B166" s="390"/>
      <c r="C166" s="763">
        <f>Absoluut!$C$3</f>
        <v>2021</v>
      </c>
      <c r="D166" s="764"/>
      <c r="E166" s="765">
        <f>Absoluut!$E$3</f>
        <v>2023</v>
      </c>
      <c r="F166" s="766"/>
      <c r="G166" s="767">
        <f>Absoluut!$G$3</f>
        <v>2024</v>
      </c>
      <c r="H166" s="766"/>
      <c r="I166" s="767">
        <f>Absoluut!$I$3</f>
        <v>2025</v>
      </c>
      <c r="J166" s="766"/>
    </row>
    <row r="167" spans="1:12" x14ac:dyDescent="0.2">
      <c r="A167" s="237"/>
      <c r="B167" s="391"/>
      <c r="C167" s="396" t="s">
        <v>18</v>
      </c>
      <c r="D167" s="397" t="s">
        <v>19</v>
      </c>
      <c r="E167" s="393" t="s">
        <v>18</v>
      </c>
      <c r="F167" s="240" t="s">
        <v>19</v>
      </c>
      <c r="G167" s="239" t="s">
        <v>18</v>
      </c>
      <c r="H167" s="240" t="s">
        <v>19</v>
      </c>
      <c r="I167" s="239" t="s">
        <v>18</v>
      </c>
      <c r="J167" s="240" t="s">
        <v>19</v>
      </c>
    </row>
    <row r="168" spans="1:12" x14ac:dyDescent="0.2">
      <c r="A168" s="241" t="s">
        <v>598</v>
      </c>
      <c r="B168" s="430" t="s">
        <v>68</v>
      </c>
      <c r="C168" s="398">
        <f>(HLOOKUP(CONCATENATE($C$23,-1),alles!$D$1:$AA$208,(MATCH(L168,alles!$C$1:$C$208,0)),0))+(IF(M168="",0,(HLOOKUP(CONCATENATE($C$23,-1),alles!$D$1:$AA$208,(MATCH(M168,alles!$C$1:$C$208,0)),0))+(IF(N168="",0,HLOOKUP(CONCATENATE($C$23,-1),alles!$D$1:$AA$208,(MATCH(N168,alles!$C$1:$C$208,0)),0)))+(IF(O168="",0,HLOOKUP(CONCATENATE($C$23,-1),alles!$D$1:$AA$208,(MATCH(O168,alles!$C$1:$C$208,0)),0)))+(IF(P168="",0,HLOOKUP(CONCATENATE($C$23,-1),alles!$D$1:$AA$208,(MATCH(P168,alles!$C$1:$C$208,0)),0))+(IF(Q168="",0,(HLOOKUP(CONCATENATE($C$23,-1),alles!$D$1:$AA$208,(MATCH(Q168,alles!$C$1:$C$208,0)),0)))))))</f>
        <v>377</v>
      </c>
      <c r="D168" s="399">
        <f>(HLOOKUP(CONCATENATE($C$23,-2),alles!$D$1:$AA$208,(MATCH(L168,alles!$C$1:$C$208,0)),0))+(IF(M168="",0,(HLOOKUP(CONCATENATE($C$23,-2),alles!$D$1:$AA$208,(MATCH(M168,alles!$C$1:$C$208,0)),0))+(IF(N168="",0,HLOOKUP(CONCATENATE($C$23,-2),alles!$D$1:$AA$208,(MATCH(N168,alles!$C$1:$C$208,0)),0)))+(IF(O168="",0,HLOOKUP(CONCATENATE($C$23,-2),alles!$D$1:$AA$208,(MATCH(O168,alles!$C$1:$C$208,0)),0)))+(IF(P168="",0,HLOOKUP(CONCATENATE($C$23,-2),alles!$D$1:$AA$208,(MATCH(P168,alles!$C$1:$C$208,0)),0))+(IF(Q168="",0,(HLOOKUP(CONCATENATE($C$23,-2),alles!$D$1:$AA$208,(MATCH(Q168,alles!$C$1:$C$208,0)),0)))))))</f>
        <v>483.56</v>
      </c>
      <c r="E168" s="394">
        <f>(HLOOKUP(CONCATENATE($E$23,-1),alles!$D$1:$AA$208,(MATCH(L168,alles!$C$1:$C$208,0)),0))+(IF(M168="",0,(HLOOKUP(CONCATENATE($E$23,-1),alles!$D$1:$AA$208,(MATCH(M168,alles!$C$1:$C$208,0)),0))+(IF(N168="",0,HLOOKUP(CONCATENATE($E$23,-1),alles!$D$1:$AA$208,(MATCH(N168,alles!$C$1:$C$208,0)),0)))+(IF(O168="",0,HLOOKUP(CONCATENATE($E$23,-1),alles!$D$1:$AA$208,(MATCH(O168,alles!$C$1:$C$208,0)),0)))+(IF(P168="",0,HLOOKUP(CONCATENATE($E$23,-1),alles!$D$1:$AA$208,(MATCH(P168,alles!$C$1:$C$208,0)),0))+(IF(Q168="",0,(HLOOKUP(CONCATENATE($E$23,-1),alles!$D$1:$AA$208,(MATCH(Q168,alles!$C$1:$C$208,0)),0)))))))</f>
        <v>57.64</v>
      </c>
      <c r="F168" s="242">
        <f>(HLOOKUP(CONCATENATE($E$23,-2),alles!$D$1:$AA$208,(MATCH(L168,alles!$C$1:$C$208,0)),0))+(IF(M168="",0,(HLOOKUP(CONCATENATE($E$23,-2),alles!$D$1:$AA$208,(MATCH(M168,alles!$C$1:$C$208,0)),0))+(IF(N168="",0,HLOOKUP(CONCATENATE($E$23,-2),alles!$D$1:$AA$208,(MATCH(N168,alles!$C$1:$C$208,0)),0)))+(IF(O168="",0,HLOOKUP(CONCATENATE($E$23,-2),alles!$D$1:$AA$208,(MATCH(O168,alles!$C$1:$C$208,0)),0)))+(IF(P168="",0,HLOOKUP(CONCATENATE($E$23,-2),alles!$D$1:$AA$208,(MATCH(P168,alles!$C$1:$C$208,0)),0))+(IF(Q168="",0,(HLOOKUP(CONCATENATE($E$23,-2),alles!$D$1:$AA$208,(MATCH(Q168,alles!$C$1:$C$208,0)),0)))))))</f>
        <v>0</v>
      </c>
      <c r="G168" s="242">
        <f>(HLOOKUP(CONCATENATE($G$23,-1),alles!$D$1:$AA$208,(MATCH(L168,alles!$C$1:$C$208,0)),0))+(IF(M168="",0,(HLOOKUP(CONCATENATE($G$23,-1),alles!$D$1:$AA$208,(MATCH(M168,alles!$C$1:$C$208,0)),0))+(IF(N168="",0,HLOOKUP(CONCATENATE($G$23,-1),alles!$D$1:$AA$208,(MATCH(N168,alles!$C$1:$C$208,0)),0)))+(IF(O168="",0,HLOOKUP(CONCATENATE($G$23,-1),alles!$D$1:$AA$208,(MATCH(O168,alles!$C$1:$C$208,0)),0)))+(IF(P168="",0,HLOOKUP(CONCATENATE($G$23,-1),alles!$D$1:$AA$208,(MATCH(P168,alles!$C$1:$C$208,0)),0))+(IF(Q168="",0,(HLOOKUP(CONCATENATE($G$23,-1),alles!$D$1:$AA$208,(MATCH(Q168,alles!$C$1:$C$208,0)),0)))))))</f>
        <v>79.66</v>
      </c>
      <c r="H168" s="242">
        <f>(HLOOKUP(CONCATENATE($G$23,-2),alles!$D$1:$AA$208,(MATCH(L168,alles!$C$1:$C$208,0)),0))+(IF(M168="",0,(HLOOKUP(CONCATENATE($G$23,-2),alles!$D$1:$AA$208,(MATCH(M168,alles!$C$1:$C$208,0)),0))+(IF(N168="",0,HLOOKUP(CONCATENATE($G$23,-2),alles!$D$1:$AA$208,(MATCH(N168,alles!$C$1:$C$208,0)),0)))+(IF(O168="",0,HLOOKUP(CONCATENATE($G$23,-2),alles!$D$1:$AA$208,(MATCH(O168,alles!$C$1:$C$208,0)),0)))+(IF(P168="",0,HLOOKUP(CONCATENATE($G$23,-2),alles!$D$1:$AA$208,(MATCH(P168,alles!$C$1:$C$208,0)),0))+(IF(Q168="",0,(HLOOKUP(CONCATENATE($G$23,-2),alles!$D$1:$AA$208,(MATCH(Q168,alles!$C$1:$C$208,0)),0)))))))</f>
        <v>90.92</v>
      </c>
      <c r="I168" s="242">
        <f>(HLOOKUP(CONCATENATE($I$23,-1),alles!$D$1:$AA$208,(MATCH(L168,alles!$C$1:$C$208,0)),0))+(IF(M168="",0,(HLOOKUP(CONCATENATE($I$23,-1),alles!$D$1:$AA$208,(MATCH(M168,alles!$C$1:$C$208,0)),0))+(IF(N168="",0,HLOOKUP(CONCATENATE($I$23,-1),alles!$D$1:$AA$208,(MATCH(N168,alles!$C$1:$C$208,0)),0)))+(IF(O168="",0,HLOOKUP(CONCATENATE($I$23,-1),alles!$D$1:$AA$208,(MATCH(O168,alles!$C$1:$C$208,0)),0)))+(IF(P168="",0,HLOOKUP(CONCATENATE($I$23,-1),alles!$D$1:$AA$208,(MATCH(P168,alles!$C$1:$C$208,0)),0))+(IF(Q168="",0,(HLOOKUP(CONCATENATE($I$23,-1),alles!$D$1:$AA$208,(MATCH(Q168,alles!$C$1:$C$208,0)),0)))))))</f>
        <v>77.959999999999994</v>
      </c>
      <c r="J168" s="242">
        <f>(HLOOKUP(CONCATENATE($I$23,-2),alles!$D$1:$AA$208,(MATCH(L168,alles!$C$1:$C$208,0)),0))+(IF(M168="",0,(HLOOKUP(CONCATENATE($I$23,-2),alles!$D$1:$AA$208,(MATCH(M168,alles!$C$1:$C$208,0)),0))+(IF(N168="",0,HLOOKUP(CONCATENATE($I$23,-2),alles!$D$1:$AA$208,(MATCH(N168,alles!$C$1:$C$208,0)),0)))+(IF(O168="",0,HLOOKUP(CONCATENATE($I$23,-2),alles!$D$1:$AA$208,(MATCH(O168,alles!$C$1:$C$208,0)),0)))+(IF(P168="",0,HLOOKUP(CONCATENATE($I$23,-2),alles!$D$1:$AA$208,(MATCH(P168,alles!$C$1:$C$208,0)),0))+(IF(Q168="",0,(HLOOKUP(CONCATENATE($I$23,-2),alles!$D$1:$AA$208,(MATCH(Q168,alles!$C$1:$C$208,0)),0)))))))</f>
        <v>120.23</v>
      </c>
      <c r="L168" t="s">
        <v>357</v>
      </c>
    </row>
    <row r="169" spans="1:12" x14ac:dyDescent="0.2">
      <c r="A169" s="247" t="s">
        <v>72</v>
      </c>
      <c r="B169" s="248" t="s">
        <v>67</v>
      </c>
      <c r="C169" s="398">
        <f>(HLOOKUP(CONCATENATE($C$23,-1),alles!$D$1:$AA$208,(MATCH(L169,alles!$C$1:$C$208,0)),0))+(IF(M169="",0,(HLOOKUP(CONCATENATE($C$23,-1),alles!$D$1:$AA$208,(MATCH(M169,alles!$C$1:$C$208,0)),0))+(IF(N169="",0,HLOOKUP(CONCATENATE($C$23,-1),alles!$D$1:$AA$208,(MATCH(N169,alles!$C$1:$C$208,0)),0)))+(IF(O169="",0,HLOOKUP(CONCATENATE($C$23,-1),alles!$D$1:$AA$208,(MATCH(O169,alles!$C$1:$C$208,0)),0)))+(IF(P169="",0,HLOOKUP(CONCATENATE($C$23,-1),alles!$D$1:$AA$208,(MATCH(P169,alles!$C$1:$C$208,0)),0))+(IF(Q169="",0,(HLOOKUP(CONCATENATE($C$23,-1),alles!$D$1:$AA$208,(MATCH(Q169,alles!$C$1:$C$208,0)),0)))))))</f>
        <v>2293</v>
      </c>
      <c r="D169" s="399">
        <f>(HLOOKUP(CONCATENATE($C$23,-2),alles!$D$1:$AA$208,(MATCH(L169,alles!$C$1:$C$208,0)),0))+(IF(M169="",0,(HLOOKUP(CONCATENATE($C$23,-2),alles!$D$1:$AA$208,(MATCH(M169,alles!$C$1:$C$208,0)),0))+(IF(N169="",0,HLOOKUP(CONCATENATE($C$23,-2),alles!$D$1:$AA$208,(MATCH(N169,alles!$C$1:$C$208,0)),0)))+(IF(O169="",0,HLOOKUP(CONCATENATE($C$23,-2),alles!$D$1:$AA$208,(MATCH(O169,alles!$C$1:$C$208,0)),0)))+(IF(P169="",0,HLOOKUP(CONCATENATE($C$23,-2),alles!$D$1:$AA$208,(MATCH(P169,alles!$C$1:$C$208,0)),0))+(IF(Q169="",0,(HLOOKUP(CONCATENATE($C$23,-2),alles!$D$1:$AA$208,(MATCH(Q169,alles!$C$1:$C$208,0)),0)))))))</f>
        <v>2947.78</v>
      </c>
      <c r="E169" s="394">
        <f>(HLOOKUP(CONCATENATE($E$23,-1),alles!$D$1:$AA$208,(MATCH(L169,alles!$C$1:$C$208,0)),0))+(IF(M169="",0,(HLOOKUP(CONCATENATE($E$23,-1),alles!$D$1:$AA$208,(MATCH(M169,alles!$C$1:$C$208,0)),0))+(IF(N169="",0,HLOOKUP(CONCATENATE($E$23,-1),alles!$D$1:$AA$208,(MATCH(N169,alles!$C$1:$C$208,0)),0)))+(IF(O169="",0,HLOOKUP(CONCATENATE($E$23,-1),alles!$D$1:$AA$208,(MATCH(O169,alles!$C$1:$C$208,0)),0)))+(IF(P169="",0,HLOOKUP(CONCATENATE($E$23,-1),alles!$D$1:$AA$208,(MATCH(P169,alles!$C$1:$C$208,0)),0))+(IF(Q169="",0,(HLOOKUP(CONCATENATE($E$23,-1),alles!$D$1:$AA$208,(MATCH(Q169,alles!$C$1:$C$208,0)),0)))))))</f>
        <v>3139.78</v>
      </c>
      <c r="F169" s="242">
        <f>(HLOOKUP(CONCATENATE($E$23,-2),alles!$D$1:$AA$208,(MATCH(L169,alles!$C$1:$C$208,0)),0))+(IF(M169="",0,(HLOOKUP(CONCATENATE($E$23,-2),alles!$D$1:$AA$208,(MATCH(M169,alles!$C$1:$C$208,0)),0))+(IF(N169="",0,HLOOKUP(CONCATENATE($E$23,-2),alles!$D$1:$AA$208,(MATCH(N169,alles!$C$1:$C$208,0)),0)))+(IF(O169="",0,HLOOKUP(CONCATENATE($E$23,-2),alles!$D$1:$AA$208,(MATCH(O169,alles!$C$1:$C$208,0)),0)))+(IF(P169="",0,HLOOKUP(CONCATENATE($E$23,-2),alles!$D$1:$AA$208,(MATCH(P169,alles!$C$1:$C$208,0)),0))+(IF(Q169="",0,(HLOOKUP(CONCATENATE($E$23,-2),alles!$D$1:$AA$208,(MATCH(Q169,alles!$C$1:$C$208,0)),0)))))))</f>
        <v>0</v>
      </c>
      <c r="G169" s="242">
        <f>(HLOOKUP(CONCATENATE($G$23,-1),alles!$D$1:$AA$208,(MATCH(L169,alles!$C$1:$C$208,0)),0))+(IF(M169="",0,(HLOOKUP(CONCATENATE($G$23,-1),alles!$D$1:$AA$208,(MATCH(M169,alles!$C$1:$C$208,0)),0))+(IF(N169="",0,HLOOKUP(CONCATENATE($G$23,-1),alles!$D$1:$AA$208,(MATCH(N169,alles!$C$1:$C$208,0)),0)))+(IF(O169="",0,HLOOKUP(CONCATENATE($G$23,-1),alles!$D$1:$AA$208,(MATCH(O169,alles!$C$1:$C$208,0)),0)))+(IF(P169="",0,HLOOKUP(CONCATENATE($G$23,-1),alles!$D$1:$AA$208,(MATCH(P169,alles!$C$1:$C$208,0)),0))+(IF(Q169="",0,(HLOOKUP(CONCATENATE($G$23,-1),alles!$D$1:$AA$208,(MATCH(Q169,alles!$C$1:$C$208,0)),0)))))))</f>
        <v>3836.37</v>
      </c>
      <c r="H169" s="242">
        <f>(HLOOKUP(CONCATENATE($G$23,-2),alles!$D$1:$AA$208,(MATCH(L169,alles!$C$1:$C$208,0)),0))+(IF(M169="",0,(HLOOKUP(CONCATENATE($G$23,-2),alles!$D$1:$AA$208,(MATCH(M169,alles!$C$1:$C$208,0)),0))+(IF(N169="",0,HLOOKUP(CONCATENATE($G$23,-2),alles!$D$1:$AA$208,(MATCH(N169,alles!$C$1:$C$208,0)),0)))+(IF(O169="",0,HLOOKUP(CONCATENATE($G$23,-2),alles!$D$1:$AA$208,(MATCH(O169,alles!$C$1:$C$208,0)),0)))+(IF(P169="",0,HLOOKUP(CONCATENATE($G$23,-2),alles!$D$1:$AA$208,(MATCH(P169,alles!$C$1:$C$208,0)),0))+(IF(Q169="",0,(HLOOKUP(CONCATENATE($G$23,-2),alles!$D$1:$AA$208,(MATCH(Q169,alles!$C$1:$C$208,0)),0)))))))</f>
        <v>4304.33</v>
      </c>
      <c r="I169" s="242">
        <f>(HLOOKUP(CONCATENATE($I$23,-1),alles!$D$1:$AA$208,(MATCH(L169,alles!$C$1:$C$208,0)),0))+(IF(M169="",0,(HLOOKUP(CONCATENATE($I$23,-1),alles!$D$1:$AA$208,(MATCH(M169,alles!$C$1:$C$208,0)),0))+(IF(N169="",0,HLOOKUP(CONCATENATE($I$23,-1),alles!$D$1:$AA$208,(MATCH(N169,alles!$C$1:$C$208,0)),0)))+(IF(O169="",0,HLOOKUP(CONCATENATE($I$23,-1),alles!$D$1:$AA$208,(MATCH(O169,alles!$C$1:$C$208,0)),0)))+(IF(P169="",0,HLOOKUP(CONCATENATE($I$23,-1),alles!$D$1:$AA$208,(MATCH(P169,alles!$C$1:$C$208,0)),0))+(IF(Q169="",0,(HLOOKUP(CONCATENATE($I$23,-1),alles!$D$1:$AA$208,(MATCH(Q169,alles!$C$1:$C$208,0)),0)))))))</f>
        <v>5114.49</v>
      </c>
      <c r="J169" s="242">
        <f>(HLOOKUP(CONCATENATE($I$23,-2),alles!$D$1:$AA$208,(MATCH(L169,alles!$C$1:$C$208,0)),0))+(IF(M169="",0,(HLOOKUP(CONCATENATE($I$23,-2),alles!$D$1:$AA$208,(MATCH(M169,alles!$C$1:$C$208,0)),0))+(IF(N169="",0,HLOOKUP(CONCATENATE($I$23,-2),alles!$D$1:$AA$208,(MATCH(N169,alles!$C$1:$C$208,0)),0)))+(IF(O169="",0,HLOOKUP(CONCATENATE($I$23,-2),alles!$D$1:$AA$208,(MATCH(O169,alles!$C$1:$C$208,0)),0)))+(IF(P169="",0,HLOOKUP(CONCATENATE($I$23,-2),alles!$D$1:$AA$208,(MATCH(P169,alles!$C$1:$C$208,0)),0))+(IF(Q169="",0,(HLOOKUP(CONCATENATE($I$23,-2),alles!$D$1:$AA$208,(MATCH(Q169,alles!$C$1:$C$208,0)),0)))))))</f>
        <v>6270.94</v>
      </c>
      <c r="L169" t="s">
        <v>363</v>
      </c>
    </row>
    <row r="170" spans="1:12" x14ac:dyDescent="0.2">
      <c r="A170" s="247" t="s">
        <v>75</v>
      </c>
      <c r="B170" s="248" t="s">
        <v>67</v>
      </c>
      <c r="C170" s="398">
        <f>(HLOOKUP(CONCATENATE($C$23,-1),alles!$D$1:$AA$208,(MATCH(L170,alles!$C$1:$C$208,0)),0))+(IF(M170="",0,(HLOOKUP(CONCATENATE($C$23,-1),alles!$D$1:$AA$208,(MATCH(M170,alles!$C$1:$C$208,0)),0))+(IF(N170="",0,HLOOKUP(CONCATENATE($C$23,-1),alles!$D$1:$AA$208,(MATCH(N170,alles!$C$1:$C$208,0)),0)))+(IF(O170="",0,HLOOKUP(CONCATENATE($C$23,-1),alles!$D$1:$AA$208,(MATCH(O170,alles!$C$1:$C$208,0)),0)))+(IF(P170="",0,HLOOKUP(CONCATENATE($C$23,-1),alles!$D$1:$AA$208,(MATCH(P170,alles!$C$1:$C$208,0)),0))+(IF(Q170="",0,(HLOOKUP(CONCATENATE($C$23,-1),alles!$D$1:$AA$208,(MATCH(Q170,alles!$C$1:$C$208,0)),0)))))))</f>
        <v>2134</v>
      </c>
      <c r="D170" s="399">
        <f>(HLOOKUP(CONCATENATE($C$23,-2),alles!$D$1:$AA$208,(MATCH(L170,alles!$C$1:$C$208,0)),0))+(IF(M170="",0,(HLOOKUP(CONCATENATE($C$23,-2),alles!$D$1:$AA$208,(MATCH(M170,alles!$C$1:$C$208,0)),0))+(IF(N170="",0,HLOOKUP(CONCATENATE($C$23,-2),alles!$D$1:$AA$208,(MATCH(N170,alles!$C$1:$C$208,0)),0)))+(IF(O170="",0,HLOOKUP(CONCATENATE($C$23,-2),alles!$D$1:$AA$208,(MATCH(O170,alles!$C$1:$C$208,0)),0)))+(IF(P170="",0,HLOOKUP(CONCATENATE($C$23,-2),alles!$D$1:$AA$208,(MATCH(P170,alles!$C$1:$C$208,0)),0))+(IF(Q170="",0,(HLOOKUP(CONCATENATE($C$23,-2),alles!$D$1:$AA$208,(MATCH(Q170,alles!$C$1:$C$208,0)),0)))))))</f>
        <v>2335.42</v>
      </c>
      <c r="E170" s="394">
        <f>(HLOOKUP(CONCATENATE($E$23,-1),alles!$D$1:$AA$208,(MATCH(L170,alles!$C$1:$C$208,0)),0))+(IF(M170="",0,(HLOOKUP(CONCATENATE($E$23,-1),alles!$D$1:$AA$208,(MATCH(M170,alles!$C$1:$C$208,0)),0))+(IF(N170="",0,HLOOKUP(CONCATENATE($E$23,-1),alles!$D$1:$AA$208,(MATCH(N170,alles!$C$1:$C$208,0)),0)))+(IF(O170="",0,HLOOKUP(CONCATENATE($E$23,-1),alles!$D$1:$AA$208,(MATCH(O170,alles!$C$1:$C$208,0)),0)))+(IF(P170="",0,HLOOKUP(CONCATENATE($E$23,-1),alles!$D$1:$AA$208,(MATCH(P170,alles!$C$1:$C$208,0)),0))+(IF(Q170="",0,(HLOOKUP(CONCATENATE($E$23,-1),alles!$D$1:$AA$208,(MATCH(Q170,alles!$C$1:$C$208,0)),0)))))))</f>
        <v>2902.83</v>
      </c>
      <c r="F170" s="242">
        <f>(HLOOKUP(CONCATENATE($E$23,-2),alles!$D$1:$AA$208,(MATCH(L170,alles!$C$1:$C$208,0)),0))+(IF(M170="",0,(HLOOKUP(CONCATENATE($E$23,-2),alles!$D$1:$AA$208,(MATCH(M170,alles!$C$1:$C$208,0)),0))+(IF(N170="",0,HLOOKUP(CONCATENATE($E$23,-2),alles!$D$1:$AA$208,(MATCH(N170,alles!$C$1:$C$208,0)),0)))+(IF(O170="",0,HLOOKUP(CONCATENATE($E$23,-2),alles!$D$1:$AA$208,(MATCH(O170,alles!$C$1:$C$208,0)),0)))+(IF(P170="",0,HLOOKUP(CONCATENATE($E$23,-2),alles!$D$1:$AA$208,(MATCH(P170,alles!$C$1:$C$208,0)),0))+(IF(Q170="",0,(HLOOKUP(CONCATENATE($E$23,-2),alles!$D$1:$AA$208,(MATCH(Q170,alles!$C$1:$C$208,0)),0)))))))</f>
        <v>0</v>
      </c>
      <c r="G170" s="242">
        <f>(HLOOKUP(CONCATENATE($G$23,-1),alles!$D$1:$AA$208,(MATCH(L170,alles!$C$1:$C$208,0)),0))+(IF(M170="",0,(HLOOKUP(CONCATENATE($G$23,-1),alles!$D$1:$AA$208,(MATCH(M170,alles!$C$1:$C$208,0)),0))+(IF(N170="",0,HLOOKUP(CONCATENATE($G$23,-1),alles!$D$1:$AA$208,(MATCH(N170,alles!$C$1:$C$208,0)),0)))+(IF(O170="",0,HLOOKUP(CONCATENATE($G$23,-1),alles!$D$1:$AA$208,(MATCH(O170,alles!$C$1:$C$208,0)),0)))+(IF(P170="",0,HLOOKUP(CONCATENATE($G$23,-1),alles!$D$1:$AA$208,(MATCH(P170,alles!$C$1:$C$208,0)),0))+(IF(Q170="",0,(HLOOKUP(CONCATENATE($G$23,-1),alles!$D$1:$AA$208,(MATCH(Q170,alles!$C$1:$C$208,0)),0)))))))</f>
        <v>3050.9349999999999</v>
      </c>
      <c r="H170" s="242">
        <f>(HLOOKUP(CONCATENATE($G$23,-2),alles!$D$1:$AA$208,(MATCH(L170,alles!$C$1:$C$208,0)),0))+(IF(M170="",0,(HLOOKUP(CONCATENATE($G$23,-2),alles!$D$1:$AA$208,(MATCH(M170,alles!$C$1:$C$208,0)),0))+(IF(N170="",0,HLOOKUP(CONCATENATE($G$23,-2),alles!$D$1:$AA$208,(MATCH(N170,alles!$C$1:$C$208,0)),0)))+(IF(O170="",0,HLOOKUP(CONCATENATE($G$23,-2),alles!$D$1:$AA$208,(MATCH(O170,alles!$C$1:$C$208,0)),0)))+(IF(P170="",0,HLOOKUP(CONCATENATE($G$23,-2),alles!$D$1:$AA$208,(MATCH(P170,alles!$C$1:$C$208,0)),0))+(IF(Q170="",0,(HLOOKUP(CONCATENATE($G$23,-2),alles!$D$1:$AA$208,(MATCH(Q170,alles!$C$1:$C$208,0)),0)))))))</f>
        <v>3207.4</v>
      </c>
      <c r="I170" s="242">
        <f>(HLOOKUP(CONCATENATE($I$23,-1),alles!$D$1:$AA$208,(MATCH(L170,alles!$C$1:$C$208,0)),0))+(IF(M170="",0,(HLOOKUP(CONCATENATE($I$23,-1),alles!$D$1:$AA$208,(MATCH(M170,alles!$C$1:$C$208,0)),0))+(IF(N170="",0,HLOOKUP(CONCATENATE($I$23,-1),alles!$D$1:$AA$208,(MATCH(N170,alles!$C$1:$C$208,0)),0)))+(IF(O170="",0,HLOOKUP(CONCATENATE($I$23,-1),alles!$D$1:$AA$208,(MATCH(O170,alles!$C$1:$C$208,0)),0)))+(IF(P170="",0,HLOOKUP(CONCATENATE($I$23,-1),alles!$D$1:$AA$208,(MATCH(P170,alles!$C$1:$C$208,0)),0))+(IF(Q170="",0,(HLOOKUP(CONCATENATE($I$23,-1),alles!$D$1:$AA$208,(MATCH(Q170,alles!$C$1:$C$208,0)),0)))))))</f>
        <v>2465.0500000000002</v>
      </c>
      <c r="J170" s="242">
        <f>(HLOOKUP(CONCATENATE($I$23,-2),alles!$D$1:$AA$208,(MATCH(L170,alles!$C$1:$C$208,0)),0))+(IF(M170="",0,(HLOOKUP(CONCATENATE($I$23,-2),alles!$D$1:$AA$208,(MATCH(M170,alles!$C$1:$C$208,0)),0))+(IF(N170="",0,HLOOKUP(CONCATENATE($I$23,-2),alles!$D$1:$AA$208,(MATCH(N170,alles!$C$1:$C$208,0)),0)))+(IF(O170="",0,HLOOKUP(CONCATENATE($I$23,-2),alles!$D$1:$AA$208,(MATCH(O170,alles!$C$1:$C$208,0)),0)))+(IF(P170="",0,HLOOKUP(CONCATENATE($I$23,-2),alles!$D$1:$AA$208,(MATCH(P170,alles!$C$1:$C$208,0)),0))+(IF(Q170="",0,(HLOOKUP(CONCATENATE($I$23,-2),alles!$D$1:$AA$208,(MATCH(Q170,alles!$C$1:$C$208,0)),0)))))))</f>
        <v>2755.27</v>
      </c>
      <c r="L170" t="s">
        <v>364</v>
      </c>
    </row>
    <row r="171" spans="1:12" x14ac:dyDescent="0.2">
      <c r="A171" s="247" t="s">
        <v>76</v>
      </c>
      <c r="B171" s="248" t="s">
        <v>73</v>
      </c>
      <c r="C171" s="398">
        <f>(HLOOKUP(CONCATENATE($C$23,-1),alles!$D$1:$AA$208,(MATCH(L171,alles!$C$1:$C$208,0)),0))+(IF(M171="",0,(HLOOKUP(CONCATENATE($C$23,-1),alles!$D$1:$AA$208,(MATCH(M171,alles!$C$1:$C$208,0)),0))+(IF(N171="",0,HLOOKUP(CONCATENATE($C$23,-1),alles!$D$1:$AA$208,(MATCH(N171,alles!$C$1:$C$208,0)),0)))+(IF(O171="",0,HLOOKUP(CONCATENATE($C$23,-1),alles!$D$1:$AA$208,(MATCH(O171,alles!$C$1:$C$208,0)),0)))+(IF(P171="",0,HLOOKUP(CONCATENATE($C$23,-1),alles!$D$1:$AA$208,(MATCH(P171,alles!$C$1:$C$208,0)),0))+(IF(Q171="",0,(HLOOKUP(CONCATENATE($C$23,-1),alles!$D$1:$AA$208,(MATCH(Q171,alles!$C$1:$C$208,0)),0)))))))</f>
        <v>7121</v>
      </c>
      <c r="D171" s="399">
        <f>(HLOOKUP(CONCATENATE($C$23,-2),alles!$D$1:$AA$208,(MATCH(L171,alles!$C$1:$C$208,0)),0))+(IF(M171="",0,(HLOOKUP(CONCATENATE($C$23,-2),alles!$D$1:$AA$208,(MATCH(M171,alles!$C$1:$C$208,0)),0))+(IF(N171="",0,HLOOKUP(CONCATENATE($C$23,-2),alles!$D$1:$AA$208,(MATCH(N171,alles!$C$1:$C$208,0)),0)))+(IF(O171="",0,HLOOKUP(CONCATENATE($C$23,-2),alles!$D$1:$AA$208,(MATCH(O171,alles!$C$1:$C$208,0)),0)))+(IF(P171="",0,HLOOKUP(CONCATENATE($C$23,-2),alles!$D$1:$AA$208,(MATCH(P171,alles!$C$1:$C$208,0)),0))+(IF(Q171="",0,(HLOOKUP(CONCATENATE($C$23,-2),alles!$D$1:$AA$208,(MATCH(Q171,alles!$C$1:$C$208,0)),0)))))))</f>
        <v>7471.24</v>
      </c>
      <c r="E171" s="394">
        <f>(HLOOKUP(CONCATENATE($E$23,-1),alles!$D$1:$AA$208,(MATCH(L171,alles!$C$1:$C$208,0)),0))+(IF(M171="",0,(HLOOKUP(CONCATENATE($E$23,-1),alles!$D$1:$AA$208,(MATCH(M171,alles!$C$1:$C$208,0)),0))+(IF(N171="",0,HLOOKUP(CONCATENATE($E$23,-1),alles!$D$1:$AA$208,(MATCH(N171,alles!$C$1:$C$208,0)),0)))+(IF(O171="",0,HLOOKUP(CONCATENATE($E$23,-1),alles!$D$1:$AA$208,(MATCH(O171,alles!$C$1:$C$208,0)),0)))+(IF(P171="",0,HLOOKUP(CONCATENATE($E$23,-1),alles!$D$1:$AA$208,(MATCH(P171,alles!$C$1:$C$208,0)),0))+(IF(Q171="",0,(HLOOKUP(CONCATENATE($E$23,-1),alles!$D$1:$AA$208,(MATCH(Q171,alles!$C$1:$C$208,0)),0)))))))</f>
        <v>11304.41</v>
      </c>
      <c r="F171" s="242">
        <f>(HLOOKUP(CONCATENATE($E$23,-2),alles!$D$1:$AA$208,(MATCH(L171,alles!$C$1:$C$208,0)),0))+(IF(M171="",0,(HLOOKUP(CONCATENATE($E$23,-2),alles!$D$1:$AA$208,(MATCH(M171,alles!$C$1:$C$208,0)),0))+(IF(N171="",0,HLOOKUP(CONCATENATE($E$23,-2),alles!$D$1:$AA$208,(MATCH(N171,alles!$C$1:$C$208,0)),0)))+(IF(O171="",0,HLOOKUP(CONCATENATE($E$23,-2),alles!$D$1:$AA$208,(MATCH(O171,alles!$C$1:$C$208,0)),0)))+(IF(P171="",0,HLOOKUP(CONCATENATE($E$23,-2),alles!$D$1:$AA$208,(MATCH(P171,alles!$C$1:$C$208,0)),0))+(IF(Q171="",0,(HLOOKUP(CONCATENATE($E$23,-2),alles!$D$1:$AA$208,(MATCH(Q171,alles!$C$1:$C$208,0)),0)))))))</f>
        <v>0</v>
      </c>
      <c r="G171" s="242">
        <f>(HLOOKUP(CONCATENATE($G$23,-1),alles!$D$1:$AA$208,(MATCH(L171,alles!$C$1:$C$208,0)),0))+(IF(M171="",0,(HLOOKUP(CONCATENATE($G$23,-1),alles!$D$1:$AA$208,(MATCH(M171,alles!$C$1:$C$208,0)),0))+(IF(N171="",0,HLOOKUP(CONCATENATE($G$23,-1),alles!$D$1:$AA$208,(MATCH(N171,alles!$C$1:$C$208,0)),0)))+(IF(O171="",0,HLOOKUP(CONCATENATE($G$23,-1),alles!$D$1:$AA$208,(MATCH(O171,alles!$C$1:$C$208,0)),0)))+(IF(P171="",0,HLOOKUP(CONCATENATE($G$23,-1),alles!$D$1:$AA$208,(MATCH(P171,alles!$C$1:$C$208,0)),0))+(IF(Q171="",0,(HLOOKUP(CONCATENATE($G$23,-1),alles!$D$1:$AA$208,(MATCH(Q171,alles!$C$1:$C$208,0)),0)))))))</f>
        <v>12109.05</v>
      </c>
      <c r="H171" s="242">
        <f>(HLOOKUP(CONCATENATE($G$23,-2),alles!$D$1:$AA$208,(MATCH(L171,alles!$C$1:$C$208,0)),0))+(IF(M171="",0,(HLOOKUP(CONCATENATE($G$23,-2),alles!$D$1:$AA$208,(MATCH(M171,alles!$C$1:$C$208,0)),0))+(IF(N171="",0,HLOOKUP(CONCATENATE($G$23,-2),alles!$D$1:$AA$208,(MATCH(N171,alles!$C$1:$C$208,0)),0)))+(IF(O171="",0,HLOOKUP(CONCATENATE($G$23,-2),alles!$D$1:$AA$208,(MATCH(O171,alles!$C$1:$C$208,0)),0)))+(IF(P171="",0,HLOOKUP(CONCATENATE($G$23,-2),alles!$D$1:$AA$208,(MATCH(P171,alles!$C$1:$C$208,0)),0))+(IF(Q171="",0,(HLOOKUP(CONCATENATE($G$23,-2),alles!$D$1:$AA$208,(MATCH(Q171,alles!$C$1:$C$208,0)),0)))))))</f>
        <v>12101.74</v>
      </c>
      <c r="I171" s="242">
        <f>(HLOOKUP(CONCATENATE($I$23,-1),alles!$D$1:$AA$208,(MATCH(L171,alles!$C$1:$C$208,0)),0))+(IF(M171="",0,(HLOOKUP(CONCATENATE($I$23,-1),alles!$D$1:$AA$208,(MATCH(M171,alles!$C$1:$C$208,0)),0))+(IF(N171="",0,HLOOKUP(CONCATENATE($I$23,-1),alles!$D$1:$AA$208,(MATCH(N171,alles!$C$1:$C$208,0)),0)))+(IF(O171="",0,HLOOKUP(CONCATENATE($I$23,-1),alles!$D$1:$AA$208,(MATCH(O171,alles!$C$1:$C$208,0)),0)))+(IF(P171="",0,HLOOKUP(CONCATENATE($I$23,-1),alles!$D$1:$AA$208,(MATCH(P171,alles!$C$1:$C$208,0)),0))+(IF(Q171="",0,(HLOOKUP(CONCATENATE($I$23,-1),alles!$D$1:$AA$208,(MATCH(Q171,alles!$C$1:$C$208,0)),0)))))))</f>
        <v>12747.83</v>
      </c>
      <c r="J171" s="242">
        <f>(HLOOKUP(CONCATENATE($I$23,-2),alles!$D$1:$AA$208,(MATCH(L171,alles!$C$1:$C$208,0)),0))+(IF(M171="",0,(HLOOKUP(CONCATENATE($I$23,-2),alles!$D$1:$AA$208,(MATCH(M171,alles!$C$1:$C$208,0)),0))+(IF(N171="",0,HLOOKUP(CONCATENATE($I$23,-2),alles!$D$1:$AA$208,(MATCH(N171,alles!$C$1:$C$208,0)),0)))+(IF(O171="",0,HLOOKUP(CONCATENATE($I$23,-2),alles!$D$1:$AA$208,(MATCH(O171,alles!$C$1:$C$208,0)),0)))+(IF(P171="",0,HLOOKUP(CONCATENATE($I$23,-2),alles!$D$1:$AA$208,(MATCH(P171,alles!$C$1:$C$208,0)),0))+(IF(Q171="",0,(HLOOKUP(CONCATENATE($I$23,-2),alles!$D$1:$AA$208,(MATCH(Q171,alles!$C$1:$C$208,0)),0)))))))</f>
        <v>13009.31</v>
      </c>
      <c r="L171" t="s">
        <v>275</v>
      </c>
    </row>
    <row r="172" spans="1:12" x14ac:dyDescent="0.2">
      <c r="A172" s="247" t="s">
        <v>599</v>
      </c>
      <c r="B172" s="248" t="s">
        <v>67</v>
      </c>
      <c r="C172" s="398">
        <f>(HLOOKUP(CONCATENATE($C$23,-1),alles!$D$1:$AA$208,(MATCH(L172,alles!$C$1:$C$208,0)),0))+(IF(M172="",0,(HLOOKUP(CONCATENATE($C$23,-1),alles!$D$1:$AA$208,(MATCH(M172,alles!$C$1:$C$208,0)),0))+(IF(N172="",0,HLOOKUP(CONCATENATE($C$23,-1),alles!$D$1:$AA$208,(MATCH(N172,alles!$C$1:$C$208,0)),0)))+(IF(O172="",0,HLOOKUP(CONCATENATE($C$23,-1),alles!$D$1:$AA$208,(MATCH(O172,alles!$C$1:$C$208,0)),0)))+(IF(P172="",0,HLOOKUP(CONCATENATE($C$23,-1),alles!$D$1:$AA$208,(MATCH(P172,alles!$C$1:$C$208,0)),0))+(IF(Q172="",0,(HLOOKUP(CONCATENATE($C$23,-1),alles!$D$1:$AA$208,(MATCH(Q172,alles!$C$1:$C$208,0)),0)))))))</f>
        <v>99</v>
      </c>
      <c r="D172" s="399">
        <f>(HLOOKUP(CONCATENATE($C$23,-2),alles!$D$1:$AA$208,(MATCH(L172,alles!$C$1:$C$208,0)),0))+(IF(M172="",0,(HLOOKUP(CONCATENATE($C$23,-2),alles!$D$1:$AA$208,(MATCH(M172,alles!$C$1:$C$208,0)),0))+(IF(N172="",0,HLOOKUP(CONCATENATE($C$23,-2),alles!$D$1:$AA$208,(MATCH(N172,alles!$C$1:$C$208,0)),0)))+(IF(O172="",0,HLOOKUP(CONCATENATE($C$23,-2),alles!$D$1:$AA$208,(MATCH(O172,alles!$C$1:$C$208,0)),0)))+(IF(P172="",0,HLOOKUP(CONCATENATE($C$23,-2),alles!$D$1:$AA$208,(MATCH(P172,alles!$C$1:$C$208,0)),0))+(IF(Q172="",0,(HLOOKUP(CONCATENATE($C$23,-2),alles!$D$1:$AA$208,(MATCH(Q172,alles!$C$1:$C$208,0)),0)))))))</f>
        <v>80.72</v>
      </c>
      <c r="E172" s="394">
        <f>(HLOOKUP(CONCATENATE($E$23,-1),alles!$D$1:$AA$208,(MATCH(L172,alles!$C$1:$C$208,0)),0))+(IF(M172="",0,(HLOOKUP(CONCATENATE($E$23,-1),alles!$D$1:$AA$208,(MATCH(M172,alles!$C$1:$C$208,0)),0))+(IF(N172="",0,HLOOKUP(CONCATENATE($E$23,-1),alles!$D$1:$AA$208,(MATCH(N172,alles!$C$1:$C$208,0)),0)))+(IF(O172="",0,HLOOKUP(CONCATENATE($E$23,-1),alles!$D$1:$AA$208,(MATCH(O172,alles!$C$1:$C$208,0)),0)))+(IF(P172="",0,HLOOKUP(CONCATENATE($E$23,-1),alles!$D$1:$AA$208,(MATCH(P172,alles!$C$1:$C$208,0)),0))+(IF(Q172="",0,(HLOOKUP(CONCATENATE($E$23,-1),alles!$D$1:$AA$208,(MATCH(Q172,alles!$C$1:$C$208,0)),0)))))))</f>
        <v>35.4</v>
      </c>
      <c r="F172" s="242">
        <f>(HLOOKUP(CONCATENATE($E$23,-2),alles!$D$1:$AA$208,(MATCH(L172,alles!$C$1:$C$208,0)),0))+(IF(M172="",0,(HLOOKUP(CONCATENATE($E$23,-2),alles!$D$1:$AA$208,(MATCH(M172,alles!$C$1:$C$208,0)),0))+(IF(N172="",0,HLOOKUP(CONCATENATE($E$23,-2),alles!$D$1:$AA$208,(MATCH(N172,alles!$C$1:$C$208,0)),0)))+(IF(O172="",0,HLOOKUP(CONCATENATE($E$23,-2),alles!$D$1:$AA$208,(MATCH(O172,alles!$C$1:$C$208,0)),0)))+(IF(P172="",0,HLOOKUP(CONCATENATE($E$23,-2),alles!$D$1:$AA$208,(MATCH(P172,alles!$C$1:$C$208,0)),0))+(IF(Q172="",0,(HLOOKUP(CONCATENATE($E$23,-2),alles!$D$1:$AA$208,(MATCH(Q172,alles!$C$1:$C$208,0)),0)))))))</f>
        <v>0</v>
      </c>
      <c r="G172" s="242">
        <f>(HLOOKUP(CONCATENATE($G$23,-1),alles!$D$1:$AA$208,(MATCH(L172,alles!$C$1:$C$208,0)),0))+(IF(M172="",0,(HLOOKUP(CONCATENATE($G$23,-1),alles!$D$1:$AA$208,(MATCH(M172,alles!$C$1:$C$208,0)),0))+(IF(N172="",0,HLOOKUP(CONCATENATE($G$23,-1),alles!$D$1:$AA$208,(MATCH(N172,alles!$C$1:$C$208,0)),0)))+(IF(O172="",0,HLOOKUP(CONCATENATE($G$23,-1),alles!$D$1:$AA$208,(MATCH(O172,alles!$C$1:$C$208,0)),0)))+(IF(P172="",0,HLOOKUP(CONCATENATE($G$23,-1),alles!$D$1:$AA$208,(MATCH(P172,alles!$C$1:$C$208,0)),0))+(IF(Q172="",0,(HLOOKUP(CONCATENATE($G$23,-1),alles!$D$1:$AA$208,(MATCH(Q172,alles!$C$1:$C$208,0)),0)))))))</f>
        <v>17.2</v>
      </c>
      <c r="H172" s="242">
        <f>(HLOOKUP(CONCATENATE($G$23,-2),alles!$D$1:$AA$208,(MATCH(L172,alles!$C$1:$C$208,0)),0))+(IF(M172="",0,(HLOOKUP(CONCATENATE($G$23,-2),alles!$D$1:$AA$208,(MATCH(M172,alles!$C$1:$C$208,0)),0))+(IF(N172="",0,HLOOKUP(CONCATENATE($G$23,-2),alles!$D$1:$AA$208,(MATCH(N172,alles!$C$1:$C$208,0)),0)))+(IF(O172="",0,HLOOKUP(CONCATENATE($G$23,-2),alles!$D$1:$AA$208,(MATCH(O172,alles!$C$1:$C$208,0)),0)))+(IF(P172="",0,HLOOKUP(CONCATENATE($G$23,-2),alles!$D$1:$AA$208,(MATCH(P172,alles!$C$1:$C$208,0)),0))+(IF(Q172="",0,(HLOOKUP(CONCATENATE($G$23,-2),alles!$D$1:$AA$208,(MATCH(Q172,alles!$C$1:$C$208,0)),0)))))))</f>
        <v>16.16</v>
      </c>
      <c r="I172" s="242">
        <f>(HLOOKUP(CONCATENATE($I$23,-1),alles!$D$1:$AA$208,(MATCH(L172,alles!$C$1:$C$208,0)),0))+(IF(M172="",0,(HLOOKUP(CONCATENATE($I$23,-1),alles!$D$1:$AA$208,(MATCH(M172,alles!$C$1:$C$208,0)),0))+(IF(N172="",0,HLOOKUP(CONCATENATE($I$23,-1),alles!$D$1:$AA$208,(MATCH(N172,alles!$C$1:$C$208,0)),0)))+(IF(O172="",0,HLOOKUP(CONCATENATE($I$23,-1),alles!$D$1:$AA$208,(MATCH(O172,alles!$C$1:$C$208,0)),0)))+(IF(P172="",0,HLOOKUP(CONCATENATE($I$23,-1),alles!$D$1:$AA$208,(MATCH(P172,alles!$C$1:$C$208,0)),0))+(IF(Q172="",0,(HLOOKUP(CONCATENATE($I$23,-1),alles!$D$1:$AA$208,(MATCH(Q172,alles!$C$1:$C$208,0)),0)))))))</f>
        <v>21.37</v>
      </c>
      <c r="J172" s="242">
        <f>(HLOOKUP(CONCATENATE($I$23,-2),alles!$D$1:$AA$208,(MATCH(L172,alles!$C$1:$C$208,0)),0))+(IF(M172="",0,(HLOOKUP(CONCATENATE($I$23,-2),alles!$D$1:$AA$208,(MATCH(M172,alles!$C$1:$C$208,0)),0))+(IF(N172="",0,HLOOKUP(CONCATENATE($I$23,-2),alles!$D$1:$AA$208,(MATCH(N172,alles!$C$1:$C$208,0)),0)))+(IF(O172="",0,HLOOKUP(CONCATENATE($I$23,-2),alles!$D$1:$AA$208,(MATCH(O172,alles!$C$1:$C$208,0)),0)))+(IF(P172="",0,HLOOKUP(CONCATENATE($I$23,-2),alles!$D$1:$AA$208,(MATCH(P172,alles!$C$1:$C$208,0)),0))+(IF(Q172="",0,(HLOOKUP(CONCATENATE($I$23,-2),alles!$D$1:$AA$208,(MATCH(Q172,alles!$C$1:$C$208,0)),0)))))))</f>
        <v>42.76</v>
      </c>
      <c r="L172" t="s">
        <v>365</v>
      </c>
    </row>
    <row r="173" spans="1:12" x14ac:dyDescent="0.2">
      <c r="A173" s="247" t="s">
        <v>80</v>
      </c>
      <c r="B173" s="248" t="s">
        <v>68</v>
      </c>
      <c r="C173" s="398">
        <f>(HLOOKUP(CONCATENATE($C$23,-1),alles!$D$1:$AA$208,(MATCH(L173,alles!$C$1:$C$208,0)),0))+(IF(M173="",0,(HLOOKUP(CONCATENATE($C$23,-1),alles!$D$1:$AA$208,(MATCH(M173,alles!$C$1:$C$208,0)),0))+(IF(N173="",0,HLOOKUP(CONCATENATE($C$23,-1),alles!$D$1:$AA$208,(MATCH(N173,alles!$C$1:$C$208,0)),0)))+(IF(O173="",0,HLOOKUP(CONCATENATE($C$23,-1),alles!$D$1:$AA$208,(MATCH(O173,alles!$C$1:$C$208,0)),0)))+(IF(P173="",0,HLOOKUP(CONCATENATE($C$23,-1),alles!$D$1:$AA$208,(MATCH(P173,alles!$C$1:$C$208,0)),0))+(IF(Q173="",0,(HLOOKUP(CONCATENATE($C$23,-1),alles!$D$1:$AA$208,(MATCH(Q173,alles!$C$1:$C$208,0)),0)))))))</f>
        <v>59</v>
      </c>
      <c r="D173" s="399">
        <f>(HLOOKUP(CONCATENATE($C$23,-2),alles!$D$1:$AA$208,(MATCH(L173,alles!$C$1:$C$208,0)),0))+(IF(M173="",0,(HLOOKUP(CONCATENATE($C$23,-2),alles!$D$1:$AA$208,(MATCH(M173,alles!$C$1:$C$208,0)),0))+(IF(N173="",0,HLOOKUP(CONCATENATE($C$23,-2),alles!$D$1:$AA$208,(MATCH(N173,alles!$C$1:$C$208,0)),0)))+(IF(O173="",0,HLOOKUP(CONCATENATE($C$23,-2),alles!$D$1:$AA$208,(MATCH(O173,alles!$C$1:$C$208,0)),0)))+(IF(P173="",0,HLOOKUP(CONCATENATE($C$23,-2),alles!$D$1:$AA$208,(MATCH(P173,alles!$C$1:$C$208,0)),0))+(IF(Q173="",0,(HLOOKUP(CONCATENATE($C$23,-2),alles!$D$1:$AA$208,(MATCH(Q173,alles!$C$1:$C$208,0)),0)))))))</f>
        <v>83.66</v>
      </c>
      <c r="E173" s="394">
        <f>(HLOOKUP(CONCATENATE($E$23,-1),alles!$D$1:$AA$208,(MATCH(L173,alles!$C$1:$C$208,0)),0))+(IF(M173="",0,(HLOOKUP(CONCATENATE($E$23,-1),alles!$D$1:$AA$208,(MATCH(M173,alles!$C$1:$C$208,0)),0))+(IF(N173="",0,HLOOKUP(CONCATENATE($E$23,-1),alles!$D$1:$AA$208,(MATCH(N173,alles!$C$1:$C$208,0)),0)))+(IF(O173="",0,HLOOKUP(CONCATENATE($E$23,-1),alles!$D$1:$AA$208,(MATCH(O173,alles!$C$1:$C$208,0)),0)))+(IF(P173="",0,HLOOKUP(CONCATENATE($E$23,-1),alles!$D$1:$AA$208,(MATCH(P173,alles!$C$1:$C$208,0)),0))+(IF(Q173="",0,(HLOOKUP(CONCATENATE($E$23,-1),alles!$D$1:$AA$208,(MATCH(Q173,alles!$C$1:$C$208,0)),0)))))))</f>
        <v>97.22</v>
      </c>
      <c r="F173" s="242">
        <f>(HLOOKUP(CONCATENATE($E$23,-2),alles!$D$1:$AA$208,(MATCH(L173,alles!$C$1:$C$208,0)),0))+(IF(M173="",0,(HLOOKUP(CONCATENATE($E$23,-2),alles!$D$1:$AA$208,(MATCH(M173,alles!$C$1:$C$208,0)),0))+(IF(N173="",0,HLOOKUP(CONCATENATE($E$23,-2),alles!$D$1:$AA$208,(MATCH(N173,alles!$C$1:$C$208,0)),0)))+(IF(O173="",0,HLOOKUP(CONCATENATE($E$23,-2),alles!$D$1:$AA$208,(MATCH(O173,alles!$C$1:$C$208,0)),0)))+(IF(P173="",0,HLOOKUP(CONCATENATE($E$23,-2),alles!$D$1:$AA$208,(MATCH(P173,alles!$C$1:$C$208,0)),0))+(IF(Q173="",0,(HLOOKUP(CONCATENATE($E$23,-2),alles!$D$1:$AA$208,(MATCH(Q173,alles!$C$1:$C$208,0)),0)))))))</f>
        <v>0</v>
      </c>
      <c r="G173" s="242">
        <f>(HLOOKUP(CONCATENATE($G$23,-1),alles!$D$1:$AA$208,(MATCH(L173,alles!$C$1:$C$208,0)),0))+(IF(M173="",0,(HLOOKUP(CONCATENATE($G$23,-1),alles!$D$1:$AA$208,(MATCH(M173,alles!$C$1:$C$208,0)),0))+(IF(N173="",0,HLOOKUP(CONCATENATE($G$23,-1),alles!$D$1:$AA$208,(MATCH(N173,alles!$C$1:$C$208,0)),0)))+(IF(O173="",0,HLOOKUP(CONCATENATE($G$23,-1),alles!$D$1:$AA$208,(MATCH(O173,alles!$C$1:$C$208,0)),0)))+(IF(P173="",0,HLOOKUP(CONCATENATE($G$23,-1),alles!$D$1:$AA$208,(MATCH(P173,alles!$C$1:$C$208,0)),0))+(IF(Q173="",0,(HLOOKUP(CONCATENATE($G$23,-1),alles!$D$1:$AA$208,(MATCH(Q173,alles!$C$1:$C$208,0)),0)))))))</f>
        <v>88.43</v>
      </c>
      <c r="H173" s="242">
        <f>(HLOOKUP(CONCATENATE($G$23,-2),alles!$D$1:$AA$208,(MATCH(L173,alles!$C$1:$C$208,0)),0))+(IF(M173="",0,(HLOOKUP(CONCATENATE($G$23,-2),alles!$D$1:$AA$208,(MATCH(M173,alles!$C$1:$C$208,0)),0))+(IF(N173="",0,HLOOKUP(CONCATENATE($G$23,-2),alles!$D$1:$AA$208,(MATCH(N173,alles!$C$1:$C$208,0)),0)))+(IF(O173="",0,HLOOKUP(CONCATENATE($G$23,-2),alles!$D$1:$AA$208,(MATCH(O173,alles!$C$1:$C$208,0)),0)))+(IF(P173="",0,HLOOKUP(CONCATENATE($G$23,-2),alles!$D$1:$AA$208,(MATCH(P173,alles!$C$1:$C$208,0)),0))+(IF(Q173="",0,(HLOOKUP(CONCATENATE($G$23,-2),alles!$D$1:$AA$208,(MATCH(Q173,alles!$C$1:$C$208,0)),0)))))))</f>
        <v>101.07</v>
      </c>
      <c r="I173" s="242">
        <f>(HLOOKUP(CONCATENATE($I$23,-1),alles!$D$1:$AA$208,(MATCH(L173,alles!$C$1:$C$208,0)),0))+(IF(M173="",0,(HLOOKUP(CONCATENATE($I$23,-1),alles!$D$1:$AA$208,(MATCH(M173,alles!$C$1:$C$208,0)),0))+(IF(N173="",0,HLOOKUP(CONCATENATE($I$23,-1),alles!$D$1:$AA$208,(MATCH(N173,alles!$C$1:$C$208,0)),0)))+(IF(O173="",0,HLOOKUP(CONCATENATE($I$23,-1),alles!$D$1:$AA$208,(MATCH(O173,alles!$C$1:$C$208,0)),0)))+(IF(P173="",0,HLOOKUP(CONCATENATE($I$23,-1),alles!$D$1:$AA$208,(MATCH(P173,alles!$C$1:$C$208,0)),0))+(IF(Q173="",0,(HLOOKUP(CONCATENATE($I$23,-1),alles!$D$1:$AA$208,(MATCH(Q173,alles!$C$1:$C$208,0)),0)))))))</f>
        <v>87.44</v>
      </c>
      <c r="J173" s="242">
        <f>(HLOOKUP(CONCATENATE($I$23,-2),alles!$D$1:$AA$208,(MATCH(L173,alles!$C$1:$C$208,0)),0))+(IF(M173="",0,(HLOOKUP(CONCATENATE($I$23,-2),alles!$D$1:$AA$208,(MATCH(M173,alles!$C$1:$C$208,0)),0))+(IF(N173="",0,HLOOKUP(CONCATENATE($I$23,-2),alles!$D$1:$AA$208,(MATCH(N173,alles!$C$1:$C$208,0)),0)))+(IF(O173="",0,HLOOKUP(CONCATENATE($I$23,-2),alles!$D$1:$AA$208,(MATCH(O173,alles!$C$1:$C$208,0)),0)))+(IF(P173="",0,HLOOKUP(CONCATENATE($I$23,-2),alles!$D$1:$AA$208,(MATCH(P173,alles!$C$1:$C$208,0)),0))+(IF(Q173="",0,(HLOOKUP(CONCATENATE($I$23,-2),alles!$D$1:$AA$208,(MATCH(Q173,alles!$C$1:$C$208,0)),0)))))))</f>
        <v>86.01</v>
      </c>
      <c r="L173" t="s">
        <v>277</v>
      </c>
    </row>
    <row r="174" spans="1:12" x14ac:dyDescent="0.2">
      <c r="A174" s="247" t="s">
        <v>83</v>
      </c>
      <c r="B174" s="248" t="s">
        <v>68</v>
      </c>
      <c r="C174" s="398">
        <f>(HLOOKUP(CONCATENATE($C$23,-1),alles!$D$1:$AA$208,(MATCH(L174,alles!$C$1:$C$208,0)),0))+(IF(M174="",0,(HLOOKUP(CONCATENATE($C$23,-1),alles!$D$1:$AA$208,(MATCH(M174,alles!$C$1:$C$208,0)),0))+(IF(N174="",0,HLOOKUP(CONCATENATE($C$23,-1),alles!$D$1:$AA$208,(MATCH(N174,alles!$C$1:$C$208,0)),0)))+(IF(O174="",0,HLOOKUP(CONCATENATE($C$23,-1),alles!$D$1:$AA$208,(MATCH(O174,alles!$C$1:$C$208,0)),0)))+(IF(P174="",0,HLOOKUP(CONCATENATE($C$23,-1),alles!$D$1:$AA$208,(MATCH(P174,alles!$C$1:$C$208,0)),0))+(IF(Q174="",0,(HLOOKUP(CONCATENATE($C$23,-1),alles!$D$1:$AA$208,(MATCH(Q174,alles!$C$1:$C$208,0)),0)))))))</f>
        <v>25</v>
      </c>
      <c r="D174" s="399">
        <f>(HLOOKUP(CONCATENATE($C$23,-2),alles!$D$1:$AA$208,(MATCH(L174,alles!$C$1:$C$208,0)),0))+(IF(M174="",0,(HLOOKUP(CONCATENATE($C$23,-2),alles!$D$1:$AA$208,(MATCH(M174,alles!$C$1:$C$208,0)),0))+(IF(N174="",0,HLOOKUP(CONCATENATE($C$23,-2),alles!$D$1:$AA$208,(MATCH(N174,alles!$C$1:$C$208,0)),0)))+(IF(O174="",0,HLOOKUP(CONCATENATE($C$23,-2),alles!$D$1:$AA$208,(MATCH(O174,alles!$C$1:$C$208,0)),0)))+(IF(P174="",0,HLOOKUP(CONCATENATE($C$23,-2),alles!$D$1:$AA$208,(MATCH(P174,alles!$C$1:$C$208,0)),0))+(IF(Q174="",0,(HLOOKUP(CONCATENATE($C$23,-2),alles!$D$1:$AA$208,(MATCH(Q174,alles!$C$1:$C$208,0)),0)))))))</f>
        <v>87.32</v>
      </c>
      <c r="E174" s="394">
        <f>(HLOOKUP(CONCATENATE($E$23,-1),alles!$D$1:$AA$208,(MATCH(L174,alles!$C$1:$C$208,0)),0))+(IF(M174="",0,(HLOOKUP(CONCATENATE($E$23,-1),alles!$D$1:$AA$208,(MATCH(M174,alles!$C$1:$C$208,0)),0))+(IF(N174="",0,HLOOKUP(CONCATENATE($E$23,-1),alles!$D$1:$AA$208,(MATCH(N174,alles!$C$1:$C$208,0)),0)))+(IF(O174="",0,HLOOKUP(CONCATENATE($E$23,-1),alles!$D$1:$AA$208,(MATCH(O174,alles!$C$1:$C$208,0)),0)))+(IF(P174="",0,HLOOKUP(CONCATENATE($E$23,-1),alles!$D$1:$AA$208,(MATCH(P174,alles!$C$1:$C$208,0)),0))+(IF(Q174="",0,(HLOOKUP(CONCATENATE($E$23,-1),alles!$D$1:$AA$208,(MATCH(Q174,alles!$C$1:$C$208,0)),0)))))))</f>
        <v>226.96</v>
      </c>
      <c r="F174" s="242">
        <f>(HLOOKUP(CONCATENATE($E$23,-2),alles!$D$1:$AA$208,(MATCH(L174,alles!$C$1:$C$208,0)),0))+(IF(M174="",0,(HLOOKUP(CONCATENATE($E$23,-2),alles!$D$1:$AA$208,(MATCH(M174,alles!$C$1:$C$208,0)),0))+(IF(N174="",0,HLOOKUP(CONCATENATE($E$23,-2),alles!$D$1:$AA$208,(MATCH(N174,alles!$C$1:$C$208,0)),0)))+(IF(O174="",0,HLOOKUP(CONCATENATE($E$23,-2),alles!$D$1:$AA$208,(MATCH(O174,alles!$C$1:$C$208,0)),0)))+(IF(P174="",0,HLOOKUP(CONCATENATE($E$23,-2),alles!$D$1:$AA$208,(MATCH(P174,alles!$C$1:$C$208,0)),0))+(IF(Q174="",0,(HLOOKUP(CONCATENATE($E$23,-2),alles!$D$1:$AA$208,(MATCH(Q174,alles!$C$1:$C$208,0)),0)))))))</f>
        <v>0</v>
      </c>
      <c r="G174" s="242">
        <f>(HLOOKUP(CONCATENATE($G$23,-1),alles!$D$1:$AA$208,(MATCH(L174,alles!$C$1:$C$208,0)),0))+(IF(M174="",0,(HLOOKUP(CONCATENATE($G$23,-1),alles!$D$1:$AA$208,(MATCH(M174,alles!$C$1:$C$208,0)),0))+(IF(N174="",0,HLOOKUP(CONCATENATE($G$23,-1),alles!$D$1:$AA$208,(MATCH(N174,alles!$C$1:$C$208,0)),0)))+(IF(O174="",0,HLOOKUP(CONCATENATE($G$23,-1),alles!$D$1:$AA$208,(MATCH(O174,alles!$C$1:$C$208,0)),0)))+(IF(P174="",0,HLOOKUP(CONCATENATE($G$23,-1),alles!$D$1:$AA$208,(MATCH(P174,alles!$C$1:$C$208,0)),0))+(IF(Q174="",0,(HLOOKUP(CONCATENATE($G$23,-1),alles!$D$1:$AA$208,(MATCH(Q174,alles!$C$1:$C$208,0)),0)))))))</f>
        <v>157.04</v>
      </c>
      <c r="H174" s="242">
        <f>(HLOOKUP(CONCATENATE($G$23,-2),alles!$D$1:$AA$208,(MATCH(L174,alles!$C$1:$C$208,0)),0))+(IF(M174="",0,(HLOOKUP(CONCATENATE($G$23,-2),alles!$D$1:$AA$208,(MATCH(M174,alles!$C$1:$C$208,0)),0))+(IF(N174="",0,HLOOKUP(CONCATENATE($G$23,-2),alles!$D$1:$AA$208,(MATCH(N174,alles!$C$1:$C$208,0)),0)))+(IF(O174="",0,HLOOKUP(CONCATENATE($G$23,-2),alles!$D$1:$AA$208,(MATCH(O174,alles!$C$1:$C$208,0)),0)))+(IF(P174="",0,HLOOKUP(CONCATENATE($G$23,-2),alles!$D$1:$AA$208,(MATCH(P174,alles!$C$1:$C$208,0)),0))+(IF(Q174="",0,(HLOOKUP(CONCATENATE($G$23,-2),alles!$D$1:$AA$208,(MATCH(Q174,alles!$C$1:$C$208,0)),0)))))))</f>
        <v>86.26</v>
      </c>
      <c r="I174" s="242">
        <f>(HLOOKUP(CONCATENATE($I$23,-1),alles!$D$1:$AA$208,(MATCH(L174,alles!$C$1:$C$208,0)),0))+(IF(M174="",0,(HLOOKUP(CONCATENATE($I$23,-1),alles!$D$1:$AA$208,(MATCH(M174,alles!$C$1:$C$208,0)),0))+(IF(N174="",0,HLOOKUP(CONCATENATE($I$23,-1),alles!$D$1:$AA$208,(MATCH(N174,alles!$C$1:$C$208,0)),0)))+(IF(O174="",0,HLOOKUP(CONCATENATE($I$23,-1),alles!$D$1:$AA$208,(MATCH(O174,alles!$C$1:$C$208,0)),0)))+(IF(P174="",0,HLOOKUP(CONCATENATE($I$23,-1),alles!$D$1:$AA$208,(MATCH(P174,alles!$C$1:$C$208,0)),0))+(IF(Q174="",0,(HLOOKUP(CONCATENATE($I$23,-1),alles!$D$1:$AA$208,(MATCH(Q174,alles!$C$1:$C$208,0)),0)))))))</f>
        <v>148.69999999999999</v>
      </c>
      <c r="J174" s="242">
        <f>(HLOOKUP(CONCATENATE($I$23,-2),alles!$D$1:$AA$208,(MATCH(L174,alles!$C$1:$C$208,0)),0))+(IF(M174="",0,(HLOOKUP(CONCATENATE($I$23,-2),alles!$D$1:$AA$208,(MATCH(M174,alles!$C$1:$C$208,0)),0))+(IF(N174="",0,HLOOKUP(CONCATENATE($I$23,-2),alles!$D$1:$AA$208,(MATCH(N174,alles!$C$1:$C$208,0)),0)))+(IF(O174="",0,HLOOKUP(CONCATENATE($I$23,-2),alles!$D$1:$AA$208,(MATCH(O174,alles!$C$1:$C$208,0)),0)))+(IF(P174="",0,HLOOKUP(CONCATENATE($I$23,-2),alles!$D$1:$AA$208,(MATCH(P174,alles!$C$1:$C$208,0)),0))+(IF(Q174="",0,(HLOOKUP(CONCATENATE($I$23,-2),alles!$D$1:$AA$208,(MATCH(Q174,alles!$C$1:$C$208,0)),0)))))))</f>
        <v>166.02</v>
      </c>
      <c r="L174" t="s">
        <v>278</v>
      </c>
    </row>
    <row r="175" spans="1:12" x14ac:dyDescent="0.2">
      <c r="A175" s="247" t="s">
        <v>84</v>
      </c>
      <c r="B175" s="248" t="s">
        <v>68</v>
      </c>
      <c r="C175" s="398">
        <f>(HLOOKUP(CONCATENATE($C$23,-1),alles!$D$1:$AA$208,(MATCH(L175,alles!$C$1:$C$208,0)),0))+(IF(M175="",0,(HLOOKUP(CONCATENATE($C$23,-1),alles!$D$1:$AA$208,(MATCH(M175,alles!$C$1:$C$208,0)),0))+(IF(N175="",0,HLOOKUP(CONCATENATE($C$23,-1),alles!$D$1:$AA$208,(MATCH(N175,alles!$C$1:$C$208,0)),0)))+(IF(O175="",0,HLOOKUP(CONCATENATE($C$23,-1),alles!$D$1:$AA$208,(MATCH(O175,alles!$C$1:$C$208,0)),0)))+(IF(P175="",0,HLOOKUP(CONCATENATE($C$23,-1),alles!$D$1:$AA$208,(MATCH(P175,alles!$C$1:$C$208,0)),0))+(IF(Q175="",0,(HLOOKUP(CONCATENATE($C$23,-1),alles!$D$1:$AA$208,(MATCH(Q175,alles!$C$1:$C$208,0)),0)))))))</f>
        <v>105</v>
      </c>
      <c r="D175" s="399">
        <f>(HLOOKUP(CONCATENATE($C$23,-2),alles!$D$1:$AA$208,(MATCH(L175,alles!$C$1:$C$208,0)),0))+(IF(M175="",0,(HLOOKUP(CONCATENATE($C$23,-2),alles!$D$1:$AA$208,(MATCH(M175,alles!$C$1:$C$208,0)),0))+(IF(N175="",0,HLOOKUP(CONCATENATE($C$23,-2),alles!$D$1:$AA$208,(MATCH(N175,alles!$C$1:$C$208,0)),0)))+(IF(O175="",0,HLOOKUP(CONCATENATE($C$23,-2),alles!$D$1:$AA$208,(MATCH(O175,alles!$C$1:$C$208,0)),0)))+(IF(P175="",0,HLOOKUP(CONCATENATE($C$23,-2),alles!$D$1:$AA$208,(MATCH(P175,alles!$C$1:$C$208,0)),0))+(IF(Q175="",0,(HLOOKUP(CONCATENATE($C$23,-2),alles!$D$1:$AA$208,(MATCH(Q175,alles!$C$1:$C$208,0)),0)))))))</f>
        <v>290.8</v>
      </c>
      <c r="E175" s="394">
        <f>(HLOOKUP(CONCATENATE($E$23,-1),alles!$D$1:$AA$208,(MATCH(L175,alles!$C$1:$C$208,0)),0))+(IF(M175="",0,(HLOOKUP(CONCATENATE($E$23,-1),alles!$D$1:$AA$208,(MATCH(M175,alles!$C$1:$C$208,0)),0))+(IF(N175="",0,HLOOKUP(CONCATENATE($E$23,-1),alles!$D$1:$AA$208,(MATCH(N175,alles!$C$1:$C$208,0)),0)))+(IF(O175="",0,HLOOKUP(CONCATENATE($E$23,-1),alles!$D$1:$AA$208,(MATCH(O175,alles!$C$1:$C$208,0)),0)))+(IF(P175="",0,HLOOKUP(CONCATENATE($E$23,-1),alles!$D$1:$AA$208,(MATCH(P175,alles!$C$1:$C$208,0)),0))+(IF(Q175="",0,(HLOOKUP(CONCATENATE($E$23,-1),alles!$D$1:$AA$208,(MATCH(Q175,alles!$C$1:$C$208,0)),0)))))))</f>
        <v>157.96</v>
      </c>
      <c r="F175" s="242">
        <f>(HLOOKUP(CONCATENATE($E$23,-2),alles!$D$1:$AA$208,(MATCH(L175,alles!$C$1:$C$208,0)),0))+(IF(M175="",0,(HLOOKUP(CONCATENATE($E$23,-2),alles!$D$1:$AA$208,(MATCH(M175,alles!$C$1:$C$208,0)),0))+(IF(N175="",0,HLOOKUP(CONCATENATE($E$23,-2),alles!$D$1:$AA$208,(MATCH(N175,alles!$C$1:$C$208,0)),0)))+(IF(O175="",0,HLOOKUP(CONCATENATE($E$23,-2),alles!$D$1:$AA$208,(MATCH(O175,alles!$C$1:$C$208,0)),0)))+(IF(P175="",0,HLOOKUP(CONCATENATE($E$23,-2),alles!$D$1:$AA$208,(MATCH(P175,alles!$C$1:$C$208,0)),0))+(IF(Q175="",0,(HLOOKUP(CONCATENATE($E$23,-2),alles!$D$1:$AA$208,(MATCH(Q175,alles!$C$1:$C$208,0)),0)))))))</f>
        <v>0</v>
      </c>
      <c r="G175" s="242">
        <f>(HLOOKUP(CONCATENATE($G$23,-1),alles!$D$1:$AA$208,(MATCH(L175,alles!$C$1:$C$208,0)),0))+(IF(M175="",0,(HLOOKUP(CONCATENATE($G$23,-1),alles!$D$1:$AA$208,(MATCH(M175,alles!$C$1:$C$208,0)),0))+(IF(N175="",0,HLOOKUP(CONCATENATE($G$23,-1),alles!$D$1:$AA$208,(MATCH(N175,alles!$C$1:$C$208,0)),0)))+(IF(O175="",0,HLOOKUP(CONCATENATE($G$23,-1),alles!$D$1:$AA$208,(MATCH(O175,alles!$C$1:$C$208,0)),0)))+(IF(P175="",0,HLOOKUP(CONCATENATE($G$23,-1),alles!$D$1:$AA$208,(MATCH(P175,alles!$C$1:$C$208,0)),0))+(IF(Q175="",0,(HLOOKUP(CONCATENATE($G$23,-1),alles!$D$1:$AA$208,(MATCH(Q175,alles!$C$1:$C$208,0)),0)))))))</f>
        <v>137.91999999999999</v>
      </c>
      <c r="H175" s="242">
        <f>(HLOOKUP(CONCATENATE($G$23,-2),alles!$D$1:$AA$208,(MATCH(L175,alles!$C$1:$C$208,0)),0))+(IF(M175="",0,(HLOOKUP(CONCATENATE($G$23,-2),alles!$D$1:$AA$208,(MATCH(M175,alles!$C$1:$C$208,0)),0))+(IF(N175="",0,HLOOKUP(CONCATENATE($G$23,-2),alles!$D$1:$AA$208,(MATCH(N175,alles!$C$1:$C$208,0)),0)))+(IF(O175="",0,HLOOKUP(CONCATENATE($G$23,-2),alles!$D$1:$AA$208,(MATCH(O175,alles!$C$1:$C$208,0)),0)))+(IF(P175="",0,HLOOKUP(CONCATENATE($G$23,-2),alles!$D$1:$AA$208,(MATCH(P175,alles!$C$1:$C$208,0)),0))+(IF(Q175="",0,(HLOOKUP(CONCATENATE($G$23,-2),alles!$D$1:$AA$208,(MATCH(Q175,alles!$C$1:$C$208,0)),0)))))))</f>
        <v>208.75</v>
      </c>
      <c r="I175" s="242">
        <f>(HLOOKUP(CONCATENATE($I$23,-1),alles!$D$1:$AA$208,(MATCH(L175,alles!$C$1:$C$208,0)),0))+(IF(M175="",0,(HLOOKUP(CONCATENATE($I$23,-1),alles!$D$1:$AA$208,(MATCH(M175,alles!$C$1:$C$208,0)),0))+(IF(N175="",0,HLOOKUP(CONCATENATE($I$23,-1),alles!$D$1:$AA$208,(MATCH(N175,alles!$C$1:$C$208,0)),0)))+(IF(O175="",0,HLOOKUP(CONCATENATE($I$23,-1),alles!$D$1:$AA$208,(MATCH(O175,alles!$C$1:$C$208,0)),0)))+(IF(P175="",0,HLOOKUP(CONCATENATE($I$23,-1),alles!$D$1:$AA$208,(MATCH(P175,alles!$C$1:$C$208,0)),0))+(IF(Q175="",0,(HLOOKUP(CONCATENATE($I$23,-1),alles!$D$1:$AA$208,(MATCH(Q175,alles!$C$1:$C$208,0)),0)))))))</f>
        <v>202.61</v>
      </c>
      <c r="J175" s="242">
        <f>(HLOOKUP(CONCATENATE($I$23,-2),alles!$D$1:$AA$208,(MATCH(L175,alles!$C$1:$C$208,0)),0))+(IF(M175="",0,(HLOOKUP(CONCATENATE($I$23,-2),alles!$D$1:$AA$208,(MATCH(M175,alles!$C$1:$C$208,0)),0))+(IF(N175="",0,HLOOKUP(CONCATENATE($I$23,-2),alles!$D$1:$AA$208,(MATCH(N175,alles!$C$1:$C$208,0)),0)))+(IF(O175="",0,HLOOKUP(CONCATENATE($I$23,-2),alles!$D$1:$AA$208,(MATCH(O175,alles!$C$1:$C$208,0)),0)))+(IF(P175="",0,HLOOKUP(CONCATENATE($I$23,-2),alles!$D$1:$AA$208,(MATCH(P175,alles!$C$1:$C$208,0)),0))+(IF(Q175="",0,(HLOOKUP(CONCATENATE($I$23,-2),alles!$D$1:$AA$208,(MATCH(Q175,alles!$C$1:$C$208,0)),0)))))))</f>
        <v>187.85</v>
      </c>
      <c r="L175" t="s">
        <v>279</v>
      </c>
    </row>
    <row r="176" spans="1:12" x14ac:dyDescent="0.2">
      <c r="A176" s="247" t="s">
        <v>85</v>
      </c>
      <c r="B176" s="248" t="s">
        <v>86</v>
      </c>
      <c r="C176" s="398">
        <f>(HLOOKUP(CONCATENATE($C$23,-1),alles!$D$1:$AA$208,(MATCH(L176,alles!$C$1:$C$208,0)),0))+(IF(M176="",0,(HLOOKUP(CONCATENATE($C$23,-1),alles!$D$1:$AA$208,(MATCH(M176,alles!$C$1:$C$208,0)),0))+(IF(N176="",0,HLOOKUP(CONCATENATE($C$23,-1),alles!$D$1:$AA$208,(MATCH(N176,alles!$C$1:$C$208,0)),0)))+(IF(O176="",0,HLOOKUP(CONCATENATE($C$23,-1),alles!$D$1:$AA$208,(MATCH(O176,alles!$C$1:$C$208,0)),0)))+(IF(P176="",0,HLOOKUP(CONCATENATE($C$23,-1),alles!$D$1:$AA$208,(MATCH(P176,alles!$C$1:$C$208,0)),0))+(IF(Q176="",0,(HLOOKUP(CONCATENATE($C$23,-1),alles!$D$1:$AA$208,(MATCH(Q176,alles!$C$1:$C$208,0)),0)))))))</f>
        <v>1532</v>
      </c>
      <c r="D176" s="399">
        <f>(HLOOKUP(CONCATENATE($C$23,-2),alles!$D$1:$AA$208,(MATCH(L176,alles!$C$1:$C$208,0)),0))+(IF(M176="",0,(HLOOKUP(CONCATENATE($C$23,-2),alles!$D$1:$AA$208,(MATCH(M176,alles!$C$1:$C$208,0)),0))+(IF(N176="",0,HLOOKUP(CONCATENATE($C$23,-2),alles!$D$1:$AA$208,(MATCH(N176,alles!$C$1:$C$208,0)),0)))+(IF(O176="",0,HLOOKUP(CONCATENATE($C$23,-2),alles!$D$1:$AA$208,(MATCH(O176,alles!$C$1:$C$208,0)),0)))+(IF(P176="",0,HLOOKUP(CONCATENATE($C$23,-2),alles!$D$1:$AA$208,(MATCH(P176,alles!$C$1:$C$208,0)),0))+(IF(Q176="",0,(HLOOKUP(CONCATENATE($C$23,-2),alles!$D$1:$AA$208,(MATCH(Q176,alles!$C$1:$C$208,0)),0)))))))</f>
        <v>1446.72</v>
      </c>
      <c r="E176" s="394">
        <f>(HLOOKUP(CONCATENATE($E$23,-1),alles!$D$1:$AA$208,(MATCH(L176,alles!$C$1:$C$208,0)),0))+(IF(M176="",0,(HLOOKUP(CONCATENATE($E$23,-1),alles!$D$1:$AA$208,(MATCH(M176,alles!$C$1:$C$208,0)),0))+(IF(N176="",0,HLOOKUP(CONCATENATE($E$23,-1),alles!$D$1:$AA$208,(MATCH(N176,alles!$C$1:$C$208,0)),0)))+(IF(O176="",0,HLOOKUP(CONCATENATE($E$23,-1),alles!$D$1:$AA$208,(MATCH(O176,alles!$C$1:$C$208,0)),0)))+(IF(P176="",0,HLOOKUP(CONCATENATE($E$23,-1),alles!$D$1:$AA$208,(MATCH(P176,alles!$C$1:$C$208,0)),0))+(IF(Q176="",0,(HLOOKUP(CONCATENATE($E$23,-1),alles!$D$1:$AA$208,(MATCH(Q176,alles!$C$1:$C$208,0)),0)))))))</f>
        <v>1583.18</v>
      </c>
      <c r="F176" s="242">
        <f>(HLOOKUP(CONCATENATE($E$23,-2),alles!$D$1:$AA$208,(MATCH(L176,alles!$C$1:$C$208,0)),0))+(IF(M176="",0,(HLOOKUP(CONCATENATE($E$23,-2),alles!$D$1:$AA$208,(MATCH(M176,alles!$C$1:$C$208,0)),0))+(IF(N176="",0,HLOOKUP(CONCATENATE($E$23,-2),alles!$D$1:$AA$208,(MATCH(N176,alles!$C$1:$C$208,0)),0)))+(IF(O176="",0,HLOOKUP(CONCATENATE($E$23,-2),alles!$D$1:$AA$208,(MATCH(O176,alles!$C$1:$C$208,0)),0)))+(IF(P176="",0,HLOOKUP(CONCATENATE($E$23,-2),alles!$D$1:$AA$208,(MATCH(P176,alles!$C$1:$C$208,0)),0))+(IF(Q176="",0,(HLOOKUP(CONCATENATE($E$23,-2),alles!$D$1:$AA$208,(MATCH(Q176,alles!$C$1:$C$208,0)),0)))))))</f>
        <v>0</v>
      </c>
      <c r="G176" s="242">
        <f>(HLOOKUP(CONCATENATE($G$23,-1),alles!$D$1:$AA$208,(MATCH(L176,alles!$C$1:$C$208,0)),0))+(IF(M176="",0,(HLOOKUP(CONCATENATE($G$23,-1),alles!$D$1:$AA$208,(MATCH(M176,alles!$C$1:$C$208,0)),0))+(IF(N176="",0,HLOOKUP(CONCATENATE($G$23,-1),alles!$D$1:$AA$208,(MATCH(N176,alles!$C$1:$C$208,0)),0)))+(IF(O176="",0,HLOOKUP(CONCATENATE($G$23,-1),alles!$D$1:$AA$208,(MATCH(O176,alles!$C$1:$C$208,0)),0)))+(IF(P176="",0,HLOOKUP(CONCATENATE($G$23,-1),alles!$D$1:$AA$208,(MATCH(P176,alles!$C$1:$C$208,0)),0))+(IF(Q176="",0,(HLOOKUP(CONCATENATE($G$23,-1),alles!$D$1:$AA$208,(MATCH(Q176,alles!$C$1:$C$208,0)),0)))))))</f>
        <v>1571.04</v>
      </c>
      <c r="H176" s="242">
        <f>(HLOOKUP(CONCATENATE($G$23,-2),alles!$D$1:$AA$208,(MATCH(L176,alles!$C$1:$C$208,0)),0))+(IF(M176="",0,(HLOOKUP(CONCATENATE($G$23,-2),alles!$D$1:$AA$208,(MATCH(M176,alles!$C$1:$C$208,0)),0))+(IF(N176="",0,HLOOKUP(CONCATENATE($G$23,-2),alles!$D$1:$AA$208,(MATCH(N176,alles!$C$1:$C$208,0)),0)))+(IF(O176="",0,HLOOKUP(CONCATENATE($G$23,-2),alles!$D$1:$AA$208,(MATCH(O176,alles!$C$1:$C$208,0)),0)))+(IF(P176="",0,HLOOKUP(CONCATENATE($G$23,-2),alles!$D$1:$AA$208,(MATCH(P176,alles!$C$1:$C$208,0)),0))+(IF(Q176="",0,(HLOOKUP(CONCATENATE($G$23,-2),alles!$D$1:$AA$208,(MATCH(Q176,alles!$C$1:$C$208,0)),0)))))))</f>
        <v>1410.04</v>
      </c>
      <c r="I176" s="242">
        <f>(HLOOKUP(CONCATENATE($I$23,-1),alles!$D$1:$AA$208,(MATCH(L176,alles!$C$1:$C$208,0)),0))+(IF(M176="",0,(HLOOKUP(CONCATENATE($I$23,-1),alles!$D$1:$AA$208,(MATCH(M176,alles!$C$1:$C$208,0)),0))+(IF(N176="",0,HLOOKUP(CONCATENATE($I$23,-1),alles!$D$1:$AA$208,(MATCH(N176,alles!$C$1:$C$208,0)),0)))+(IF(O176="",0,HLOOKUP(CONCATENATE($I$23,-1),alles!$D$1:$AA$208,(MATCH(O176,alles!$C$1:$C$208,0)),0)))+(IF(P176="",0,HLOOKUP(CONCATENATE($I$23,-1),alles!$D$1:$AA$208,(MATCH(P176,alles!$C$1:$C$208,0)),0))+(IF(Q176="",0,(HLOOKUP(CONCATENATE($I$23,-1),alles!$D$1:$AA$208,(MATCH(Q176,alles!$C$1:$C$208,0)),0)))))))</f>
        <v>2241.67</v>
      </c>
      <c r="J176" s="242">
        <f>(HLOOKUP(CONCATENATE($I$23,-2),alles!$D$1:$AA$208,(MATCH(L176,alles!$C$1:$C$208,0)),0))+(IF(M176="",0,(HLOOKUP(CONCATENATE($I$23,-2),alles!$D$1:$AA$208,(MATCH(M176,alles!$C$1:$C$208,0)),0))+(IF(N176="",0,HLOOKUP(CONCATENATE($I$23,-2),alles!$D$1:$AA$208,(MATCH(N176,alles!$C$1:$C$208,0)),0)))+(IF(O176="",0,HLOOKUP(CONCATENATE($I$23,-2),alles!$D$1:$AA$208,(MATCH(O176,alles!$C$1:$C$208,0)),0)))+(IF(P176="",0,HLOOKUP(CONCATENATE($I$23,-2),alles!$D$1:$AA$208,(MATCH(P176,alles!$C$1:$C$208,0)),0))+(IF(Q176="",0,(HLOOKUP(CONCATENATE($I$23,-2),alles!$D$1:$AA$208,(MATCH(Q176,alles!$C$1:$C$208,0)),0)))))))</f>
        <v>1918.9</v>
      </c>
      <c r="L176" t="s">
        <v>367</v>
      </c>
    </row>
    <row r="177" spans="1:12" x14ac:dyDescent="0.2">
      <c r="A177" s="247" t="s">
        <v>89</v>
      </c>
      <c r="B177" s="248" t="s">
        <v>68</v>
      </c>
      <c r="C177" s="398">
        <f>(HLOOKUP(CONCATENATE($C$23,-1),alles!$D$1:$AA$208,(MATCH(L177,alles!$C$1:$C$208,0)),0))+(IF(M177="",0,(HLOOKUP(CONCATENATE($C$23,-1),alles!$D$1:$AA$208,(MATCH(M177,alles!$C$1:$C$208,0)),0))+(IF(N177="",0,HLOOKUP(CONCATENATE($C$23,-1),alles!$D$1:$AA$208,(MATCH(N177,alles!$C$1:$C$208,0)),0)))+(IF(O177="",0,HLOOKUP(CONCATENATE($C$23,-1),alles!$D$1:$AA$208,(MATCH(O177,alles!$C$1:$C$208,0)),0)))+(IF(P177="",0,HLOOKUP(CONCATENATE($C$23,-1),alles!$D$1:$AA$208,(MATCH(P177,alles!$C$1:$C$208,0)),0))+(IF(Q177="",0,(HLOOKUP(CONCATENATE($C$23,-1),alles!$D$1:$AA$208,(MATCH(Q177,alles!$C$1:$C$208,0)),0)))))))</f>
        <v>116</v>
      </c>
      <c r="D177" s="399">
        <f>(HLOOKUP(CONCATENATE($C$23,-2),alles!$D$1:$AA$208,(MATCH(L177,alles!$C$1:$C$208,0)),0))+(IF(M177="",0,(HLOOKUP(CONCATENATE($C$23,-2),alles!$D$1:$AA$208,(MATCH(M177,alles!$C$1:$C$208,0)),0))+(IF(N177="",0,HLOOKUP(CONCATENATE($C$23,-2),alles!$D$1:$AA$208,(MATCH(N177,alles!$C$1:$C$208,0)),0)))+(IF(O177="",0,HLOOKUP(CONCATENATE($C$23,-2),alles!$D$1:$AA$208,(MATCH(O177,alles!$C$1:$C$208,0)),0)))+(IF(P177="",0,HLOOKUP(CONCATENATE($C$23,-2),alles!$D$1:$AA$208,(MATCH(P177,alles!$C$1:$C$208,0)),0))+(IF(Q177="",0,(HLOOKUP(CONCATENATE($C$23,-2),alles!$D$1:$AA$208,(MATCH(Q177,alles!$C$1:$C$208,0)),0)))))))</f>
        <v>115.12</v>
      </c>
      <c r="E177" s="394">
        <f>(HLOOKUP(CONCATENATE($E$23,-1),alles!$D$1:$AA$208,(MATCH(L177,alles!$C$1:$C$208,0)),0))+(IF(M177="",0,(HLOOKUP(CONCATENATE($E$23,-1),alles!$D$1:$AA$208,(MATCH(M177,alles!$C$1:$C$208,0)),0))+(IF(N177="",0,HLOOKUP(CONCATENATE($E$23,-1),alles!$D$1:$AA$208,(MATCH(N177,alles!$C$1:$C$208,0)),0)))+(IF(O177="",0,HLOOKUP(CONCATENATE($E$23,-1),alles!$D$1:$AA$208,(MATCH(O177,alles!$C$1:$C$208,0)),0)))+(IF(P177="",0,HLOOKUP(CONCATENATE($E$23,-1),alles!$D$1:$AA$208,(MATCH(P177,alles!$C$1:$C$208,0)),0))+(IF(Q177="",0,(HLOOKUP(CONCATENATE($E$23,-1),alles!$D$1:$AA$208,(MATCH(Q177,alles!$C$1:$C$208,0)),0)))))))</f>
        <v>38.61</v>
      </c>
      <c r="F177" s="242">
        <f>(HLOOKUP(CONCATENATE($E$23,-2),alles!$D$1:$AA$208,(MATCH(L177,alles!$C$1:$C$208,0)),0))+(IF(M177="",0,(HLOOKUP(CONCATENATE($E$23,-2),alles!$D$1:$AA$208,(MATCH(M177,alles!$C$1:$C$208,0)),0))+(IF(N177="",0,HLOOKUP(CONCATENATE($E$23,-2),alles!$D$1:$AA$208,(MATCH(N177,alles!$C$1:$C$208,0)),0)))+(IF(O177="",0,HLOOKUP(CONCATENATE($E$23,-2),alles!$D$1:$AA$208,(MATCH(O177,alles!$C$1:$C$208,0)),0)))+(IF(P177="",0,HLOOKUP(CONCATENATE($E$23,-2),alles!$D$1:$AA$208,(MATCH(P177,alles!$C$1:$C$208,0)),0))+(IF(Q177="",0,(HLOOKUP(CONCATENATE($E$23,-2),alles!$D$1:$AA$208,(MATCH(Q177,alles!$C$1:$C$208,0)),0)))))))</f>
        <v>0</v>
      </c>
      <c r="G177" s="242">
        <f>(HLOOKUP(CONCATENATE($G$23,-1),alles!$D$1:$AA$208,(MATCH(L177,alles!$C$1:$C$208,0)),0))+(IF(M177="",0,(HLOOKUP(CONCATENATE($G$23,-1),alles!$D$1:$AA$208,(MATCH(M177,alles!$C$1:$C$208,0)),0))+(IF(N177="",0,HLOOKUP(CONCATENATE($G$23,-1),alles!$D$1:$AA$208,(MATCH(N177,alles!$C$1:$C$208,0)),0)))+(IF(O177="",0,HLOOKUP(CONCATENATE($G$23,-1),alles!$D$1:$AA$208,(MATCH(O177,alles!$C$1:$C$208,0)),0)))+(IF(P177="",0,HLOOKUP(CONCATENATE($G$23,-1),alles!$D$1:$AA$208,(MATCH(P177,alles!$C$1:$C$208,0)),0))+(IF(Q177="",0,(HLOOKUP(CONCATENATE($G$23,-1),alles!$D$1:$AA$208,(MATCH(Q177,alles!$C$1:$C$208,0)),0)))))))</f>
        <v>54.97</v>
      </c>
      <c r="H177" s="242">
        <f>(HLOOKUP(CONCATENATE($G$23,-2),alles!$D$1:$AA$208,(MATCH(L177,alles!$C$1:$C$208,0)),0))+(IF(M177="",0,(HLOOKUP(CONCATENATE($G$23,-2),alles!$D$1:$AA$208,(MATCH(M177,alles!$C$1:$C$208,0)),0))+(IF(N177="",0,HLOOKUP(CONCATENATE($G$23,-2),alles!$D$1:$AA$208,(MATCH(N177,alles!$C$1:$C$208,0)),0)))+(IF(O177="",0,HLOOKUP(CONCATENATE($G$23,-2),alles!$D$1:$AA$208,(MATCH(O177,alles!$C$1:$C$208,0)),0)))+(IF(P177="",0,HLOOKUP(CONCATENATE($G$23,-2),alles!$D$1:$AA$208,(MATCH(P177,alles!$C$1:$C$208,0)),0))+(IF(Q177="",0,(HLOOKUP(CONCATENATE($G$23,-2),alles!$D$1:$AA$208,(MATCH(Q177,alles!$C$1:$C$208,0)),0)))))))</f>
        <v>57.66</v>
      </c>
      <c r="I177" s="242">
        <f>(HLOOKUP(CONCATENATE($I$23,-1),alles!$D$1:$AA$208,(MATCH(L177,alles!$C$1:$C$208,0)),0))+(IF(M177="",0,(HLOOKUP(CONCATENATE($I$23,-1),alles!$D$1:$AA$208,(MATCH(M177,alles!$C$1:$C$208,0)),0))+(IF(N177="",0,HLOOKUP(CONCATENATE($I$23,-1),alles!$D$1:$AA$208,(MATCH(N177,alles!$C$1:$C$208,0)),0)))+(IF(O177="",0,HLOOKUP(CONCATENATE($I$23,-1),alles!$D$1:$AA$208,(MATCH(O177,alles!$C$1:$C$208,0)),0)))+(IF(P177="",0,HLOOKUP(CONCATENATE($I$23,-1),alles!$D$1:$AA$208,(MATCH(P177,alles!$C$1:$C$208,0)),0))+(IF(Q177="",0,(HLOOKUP(CONCATENATE($I$23,-1),alles!$D$1:$AA$208,(MATCH(Q177,alles!$C$1:$C$208,0)),0)))))))</f>
        <v>41.94</v>
      </c>
      <c r="J177" s="242">
        <f>(HLOOKUP(CONCATENATE($I$23,-2),alles!$D$1:$AA$208,(MATCH(L177,alles!$C$1:$C$208,0)),0))+(IF(M177="",0,(HLOOKUP(CONCATENATE($I$23,-2),alles!$D$1:$AA$208,(MATCH(M177,alles!$C$1:$C$208,0)),0))+(IF(N177="",0,HLOOKUP(CONCATENATE($I$23,-2),alles!$D$1:$AA$208,(MATCH(N177,alles!$C$1:$C$208,0)),0)))+(IF(O177="",0,HLOOKUP(CONCATENATE($I$23,-2),alles!$D$1:$AA$208,(MATCH(O177,alles!$C$1:$C$208,0)),0)))+(IF(P177="",0,HLOOKUP(CONCATENATE($I$23,-2),alles!$D$1:$AA$208,(MATCH(P177,alles!$C$1:$C$208,0)),0))+(IF(Q177="",0,(HLOOKUP(CONCATENATE($I$23,-2),alles!$D$1:$AA$208,(MATCH(Q177,alles!$C$1:$C$208,0)),0)))))))</f>
        <v>47.28</v>
      </c>
      <c r="L177" t="s">
        <v>369</v>
      </c>
    </row>
    <row r="178" spans="1:12" x14ac:dyDescent="0.2">
      <c r="A178" s="247" t="s">
        <v>608</v>
      </c>
      <c r="B178" s="248" t="s">
        <v>68</v>
      </c>
      <c r="C178" s="398">
        <f>(HLOOKUP(CONCATENATE($C$23,-1),alles!$D$1:$AA$208,(MATCH(L178,alles!$C$1:$C$208,0)),0))+(IF(M178="",0,(HLOOKUP(CONCATENATE($C$23,-1),alles!$D$1:$AA$208,(MATCH(M178,alles!$C$1:$C$208,0)),0))+(IF(N178="",0,HLOOKUP(CONCATENATE($C$23,-1),alles!$D$1:$AA$208,(MATCH(N178,alles!$C$1:$C$208,0)),0)))+(IF(O178="",0,HLOOKUP(CONCATENATE($C$23,-1),alles!$D$1:$AA$208,(MATCH(O178,alles!$C$1:$C$208,0)),0)))+(IF(P178="",0,HLOOKUP(CONCATENATE($C$23,-1),alles!$D$1:$AA$208,(MATCH(P178,alles!$C$1:$C$208,0)),0))+(IF(Q178="",0,(HLOOKUP(CONCATENATE($C$23,-1),alles!$D$1:$AA$208,(MATCH(Q178,alles!$C$1:$C$208,0)),0)))))))</f>
        <v>15</v>
      </c>
      <c r="D178" s="399">
        <f>(HLOOKUP(CONCATENATE($C$23,-2),alles!$D$1:$AA$208,(MATCH(L178,alles!$C$1:$C$208,0)),0))+(IF(M178="",0,(HLOOKUP(CONCATENATE($C$23,-2),alles!$D$1:$AA$208,(MATCH(M178,alles!$C$1:$C$208,0)),0))+(IF(N178="",0,HLOOKUP(CONCATENATE($C$23,-2),alles!$D$1:$AA$208,(MATCH(N178,alles!$C$1:$C$208,0)),0)))+(IF(O178="",0,HLOOKUP(CONCATENATE($C$23,-2),alles!$D$1:$AA$208,(MATCH(O178,alles!$C$1:$C$208,0)),0)))+(IF(P178="",0,HLOOKUP(CONCATENATE($C$23,-2),alles!$D$1:$AA$208,(MATCH(P178,alles!$C$1:$C$208,0)),0))+(IF(Q178="",0,(HLOOKUP(CONCATENATE($C$23,-2),alles!$D$1:$AA$208,(MATCH(Q178,alles!$C$1:$C$208,0)),0)))))))</f>
        <v>155.5</v>
      </c>
      <c r="E178" s="394">
        <f>(HLOOKUP(CONCATENATE($E$23,-1),alles!$D$1:$AA$208,(MATCH(L178,alles!$C$1:$C$208,0)),0))+(IF(M178="",0,(HLOOKUP(CONCATENATE($E$23,-1),alles!$D$1:$AA$208,(MATCH(M178,alles!$C$1:$C$208,0)),0))+(IF(N178="",0,HLOOKUP(CONCATENATE($E$23,-1),alles!$D$1:$AA$208,(MATCH(N178,alles!$C$1:$C$208,0)),0)))+(IF(O178="",0,HLOOKUP(CONCATENATE($E$23,-1),alles!$D$1:$AA$208,(MATCH(O178,alles!$C$1:$C$208,0)),0)))+(IF(P178="",0,HLOOKUP(CONCATENATE($E$23,-1),alles!$D$1:$AA$208,(MATCH(P178,alles!$C$1:$C$208,0)),0))+(IF(Q178="",0,(HLOOKUP(CONCATENATE($E$23,-1),alles!$D$1:$AA$208,(MATCH(Q178,alles!$C$1:$C$208,0)),0)))))))</f>
        <v>11.98</v>
      </c>
      <c r="F178" s="242">
        <f>(HLOOKUP(CONCATENATE($E$23,-2),alles!$D$1:$AA$208,(MATCH(L178,alles!$C$1:$C$208,0)),0))+(IF(M178="",0,(HLOOKUP(CONCATENATE($E$23,-2),alles!$D$1:$AA$208,(MATCH(M178,alles!$C$1:$C$208,0)),0))+(IF(N178="",0,HLOOKUP(CONCATENATE($E$23,-2),alles!$D$1:$AA$208,(MATCH(N178,alles!$C$1:$C$208,0)),0)))+(IF(O178="",0,HLOOKUP(CONCATENATE($E$23,-2),alles!$D$1:$AA$208,(MATCH(O178,alles!$C$1:$C$208,0)),0)))+(IF(P178="",0,HLOOKUP(CONCATENATE($E$23,-2),alles!$D$1:$AA$208,(MATCH(P178,alles!$C$1:$C$208,0)),0))+(IF(Q178="",0,(HLOOKUP(CONCATENATE($E$23,-2),alles!$D$1:$AA$208,(MATCH(Q178,alles!$C$1:$C$208,0)),0)))))))</f>
        <v>0</v>
      </c>
      <c r="G178" s="242">
        <f>(HLOOKUP(CONCATENATE($G$23,-1),alles!$D$1:$AA$208,(MATCH(L178,alles!$C$1:$C$208,0)),0))+(IF(M178="",0,(HLOOKUP(CONCATENATE($G$23,-1),alles!$D$1:$AA$208,(MATCH(M178,alles!$C$1:$C$208,0)),0))+(IF(N178="",0,HLOOKUP(CONCATENATE($G$23,-1),alles!$D$1:$AA$208,(MATCH(N178,alles!$C$1:$C$208,0)),0)))+(IF(O178="",0,HLOOKUP(CONCATENATE($G$23,-1),alles!$D$1:$AA$208,(MATCH(O178,alles!$C$1:$C$208,0)),0)))+(IF(P178="",0,HLOOKUP(CONCATENATE($G$23,-1),alles!$D$1:$AA$208,(MATCH(P178,alles!$C$1:$C$208,0)),0))+(IF(Q178="",0,(HLOOKUP(CONCATENATE($G$23,-1),alles!$D$1:$AA$208,(MATCH(Q178,alles!$C$1:$C$208,0)),0)))))))</f>
        <v>19.63</v>
      </c>
      <c r="H178" s="242">
        <f>(HLOOKUP(CONCATENATE($G$23,-2),alles!$D$1:$AA$208,(MATCH(L178,alles!$C$1:$C$208,0)),0))+(IF(M178="",0,(HLOOKUP(CONCATENATE($G$23,-2),alles!$D$1:$AA$208,(MATCH(M178,alles!$C$1:$C$208,0)),0))+(IF(N178="",0,HLOOKUP(CONCATENATE($G$23,-2),alles!$D$1:$AA$208,(MATCH(N178,alles!$C$1:$C$208,0)),0)))+(IF(O178="",0,HLOOKUP(CONCATENATE($G$23,-2),alles!$D$1:$AA$208,(MATCH(O178,alles!$C$1:$C$208,0)),0)))+(IF(P178="",0,HLOOKUP(CONCATENATE($G$23,-2),alles!$D$1:$AA$208,(MATCH(P178,alles!$C$1:$C$208,0)),0))+(IF(Q178="",0,(HLOOKUP(CONCATENATE($G$23,-2),alles!$D$1:$AA$208,(MATCH(Q178,alles!$C$1:$C$208,0)),0)))))))</f>
        <v>15.36</v>
      </c>
      <c r="I178" s="242">
        <f>(HLOOKUP(CONCATENATE($I$23,-1),alles!$D$1:$AA$208,(MATCH(L178,alles!$C$1:$C$208,0)),0))+(IF(M178="",0,(HLOOKUP(CONCATENATE($I$23,-1),alles!$D$1:$AA$208,(MATCH(M178,alles!$C$1:$C$208,0)),0))+(IF(N178="",0,HLOOKUP(CONCATENATE($I$23,-1),alles!$D$1:$AA$208,(MATCH(N178,alles!$C$1:$C$208,0)),0)))+(IF(O178="",0,HLOOKUP(CONCATENATE($I$23,-1),alles!$D$1:$AA$208,(MATCH(O178,alles!$C$1:$C$208,0)),0)))+(IF(P178="",0,HLOOKUP(CONCATENATE($I$23,-1),alles!$D$1:$AA$208,(MATCH(P178,alles!$C$1:$C$208,0)),0))+(IF(Q178="",0,(HLOOKUP(CONCATENATE($I$23,-1),alles!$D$1:$AA$208,(MATCH(Q178,alles!$C$1:$C$208,0)),0)))))))</f>
        <v>23</v>
      </c>
      <c r="J178" s="242">
        <f>(HLOOKUP(CONCATENATE($I$23,-2),alles!$D$1:$AA$208,(MATCH(L178,alles!$C$1:$C$208,0)),0))+(IF(M178="",0,(HLOOKUP(CONCATENATE($I$23,-2),alles!$D$1:$AA$208,(MATCH(M178,alles!$C$1:$C$208,0)),0))+(IF(N178="",0,HLOOKUP(CONCATENATE($I$23,-2),alles!$D$1:$AA$208,(MATCH(N178,alles!$C$1:$C$208,0)),0)))+(IF(O178="",0,HLOOKUP(CONCATENATE($I$23,-2),alles!$D$1:$AA$208,(MATCH(O178,alles!$C$1:$C$208,0)),0)))+(IF(P178="",0,HLOOKUP(CONCATENATE($I$23,-2),alles!$D$1:$AA$208,(MATCH(P178,alles!$C$1:$C$208,0)),0))+(IF(Q178="",0,(HLOOKUP(CONCATENATE($I$23,-2),alles!$D$1:$AA$208,(MATCH(Q178,alles!$C$1:$C$208,0)),0)))))))</f>
        <v>20.6</v>
      </c>
      <c r="L178" t="s">
        <v>372</v>
      </c>
    </row>
    <row r="179" spans="1:12" x14ac:dyDescent="0.2">
      <c r="A179" s="247" t="s">
        <v>92</v>
      </c>
      <c r="B179" s="248" t="s">
        <v>82</v>
      </c>
      <c r="C179" s="398">
        <f>(HLOOKUP(CONCATENATE($C$23,-1),alles!$D$1:$AA$208,(MATCH(L179,alles!$C$1:$C$208,0)),0))+(IF(M179="",0,(HLOOKUP(CONCATENATE($C$23,-1),alles!$D$1:$AA$208,(MATCH(M179,alles!$C$1:$C$208,0)),0))+(IF(N179="",0,HLOOKUP(CONCATENATE($C$23,-1),alles!$D$1:$AA$208,(MATCH(N179,alles!$C$1:$C$208,0)),0)))+(IF(O179="",0,HLOOKUP(CONCATENATE($C$23,-1),alles!$D$1:$AA$208,(MATCH(O179,alles!$C$1:$C$208,0)),0)))+(IF(P179="",0,HLOOKUP(CONCATENATE($C$23,-1),alles!$D$1:$AA$208,(MATCH(P179,alles!$C$1:$C$208,0)),0))+(IF(Q179="",0,(HLOOKUP(CONCATENATE($C$23,-1),alles!$D$1:$AA$208,(MATCH(Q179,alles!$C$1:$C$208,0)),0)))))))</f>
        <v>2671</v>
      </c>
      <c r="D179" s="399">
        <f>(HLOOKUP(CONCATENATE($C$23,-2),alles!$D$1:$AA$208,(MATCH(L179,alles!$C$1:$C$208,0)),0))+(IF(M179="",0,(HLOOKUP(CONCATENATE($C$23,-2),alles!$D$1:$AA$208,(MATCH(M179,alles!$C$1:$C$208,0)),0))+(IF(N179="",0,HLOOKUP(CONCATENATE($C$23,-2),alles!$D$1:$AA$208,(MATCH(N179,alles!$C$1:$C$208,0)),0)))+(IF(O179="",0,HLOOKUP(CONCATENATE($C$23,-2),alles!$D$1:$AA$208,(MATCH(O179,alles!$C$1:$C$208,0)),0)))+(IF(P179="",0,HLOOKUP(CONCATENATE($C$23,-2),alles!$D$1:$AA$208,(MATCH(P179,alles!$C$1:$C$208,0)),0))+(IF(Q179="",0,(HLOOKUP(CONCATENATE($C$23,-2),alles!$D$1:$AA$208,(MATCH(Q179,alles!$C$1:$C$208,0)),0)))))))</f>
        <v>3512.82</v>
      </c>
      <c r="E179" s="394">
        <f>(HLOOKUP(CONCATENATE($E$23,-1),alles!$D$1:$AA$208,(MATCH(L179,alles!$C$1:$C$208,0)),0))+(IF(M179="",0,(HLOOKUP(CONCATENATE($E$23,-1),alles!$D$1:$AA$208,(MATCH(M179,alles!$C$1:$C$208,0)),0))+(IF(N179="",0,HLOOKUP(CONCATENATE($E$23,-1),alles!$D$1:$AA$208,(MATCH(N179,alles!$C$1:$C$208,0)),0)))+(IF(O179="",0,HLOOKUP(CONCATENATE($E$23,-1),alles!$D$1:$AA$208,(MATCH(O179,alles!$C$1:$C$208,0)),0)))+(IF(P179="",0,HLOOKUP(CONCATENATE($E$23,-1),alles!$D$1:$AA$208,(MATCH(P179,alles!$C$1:$C$208,0)),0))+(IF(Q179="",0,(HLOOKUP(CONCATENATE($E$23,-1),alles!$D$1:$AA$208,(MATCH(Q179,alles!$C$1:$C$208,0)),0)))))))</f>
        <v>2005.17</v>
      </c>
      <c r="F179" s="242">
        <f>(HLOOKUP(CONCATENATE($E$23,-2),alles!$D$1:$AA$208,(MATCH(L179,alles!$C$1:$C$208,0)),0))+(IF(M179="",0,(HLOOKUP(CONCATENATE($E$23,-2),alles!$D$1:$AA$208,(MATCH(M179,alles!$C$1:$C$208,0)),0))+(IF(N179="",0,HLOOKUP(CONCATENATE($E$23,-2),alles!$D$1:$AA$208,(MATCH(N179,alles!$C$1:$C$208,0)),0)))+(IF(O179="",0,HLOOKUP(CONCATENATE($E$23,-2),alles!$D$1:$AA$208,(MATCH(O179,alles!$C$1:$C$208,0)),0)))+(IF(P179="",0,HLOOKUP(CONCATENATE($E$23,-2),alles!$D$1:$AA$208,(MATCH(P179,alles!$C$1:$C$208,0)),0))+(IF(Q179="",0,(HLOOKUP(CONCATENATE($E$23,-2),alles!$D$1:$AA$208,(MATCH(Q179,alles!$C$1:$C$208,0)),0)))))))</f>
        <v>0</v>
      </c>
      <c r="G179" s="242">
        <f>(HLOOKUP(CONCATENATE($G$23,-1),alles!$D$1:$AA$208,(MATCH(L179,alles!$C$1:$C$208,0)),0))+(IF(M179="",0,(HLOOKUP(CONCATENATE($G$23,-1),alles!$D$1:$AA$208,(MATCH(M179,alles!$C$1:$C$208,0)),0))+(IF(N179="",0,HLOOKUP(CONCATENATE($G$23,-1),alles!$D$1:$AA$208,(MATCH(N179,alles!$C$1:$C$208,0)),0)))+(IF(O179="",0,HLOOKUP(CONCATENATE($G$23,-1),alles!$D$1:$AA$208,(MATCH(O179,alles!$C$1:$C$208,0)),0)))+(IF(P179="",0,HLOOKUP(CONCATENATE($G$23,-1),alles!$D$1:$AA$208,(MATCH(P179,alles!$C$1:$C$208,0)),0))+(IF(Q179="",0,(HLOOKUP(CONCATENATE($G$23,-1),alles!$D$1:$AA$208,(MATCH(Q179,alles!$C$1:$C$208,0)),0)))))))</f>
        <v>2297.1799999999998</v>
      </c>
      <c r="H179" s="242">
        <f>(HLOOKUP(CONCATENATE($G$23,-2),alles!$D$1:$AA$208,(MATCH(L179,alles!$C$1:$C$208,0)),0))+(IF(M179="",0,(HLOOKUP(CONCATENATE($G$23,-2),alles!$D$1:$AA$208,(MATCH(M179,alles!$C$1:$C$208,0)),0))+(IF(N179="",0,HLOOKUP(CONCATENATE($G$23,-2),alles!$D$1:$AA$208,(MATCH(N179,alles!$C$1:$C$208,0)),0)))+(IF(O179="",0,HLOOKUP(CONCATENATE($G$23,-2),alles!$D$1:$AA$208,(MATCH(O179,alles!$C$1:$C$208,0)),0)))+(IF(P179="",0,HLOOKUP(CONCATENATE($G$23,-2),alles!$D$1:$AA$208,(MATCH(P179,alles!$C$1:$C$208,0)),0))+(IF(Q179="",0,(HLOOKUP(CONCATENATE($G$23,-2),alles!$D$1:$AA$208,(MATCH(Q179,alles!$C$1:$C$208,0)),0)))))))</f>
        <v>3217.38</v>
      </c>
      <c r="I179" s="242">
        <f>(HLOOKUP(CONCATENATE($I$23,-1),alles!$D$1:$AA$208,(MATCH(L179,alles!$C$1:$C$208,0)),0))+(IF(M179="",0,(HLOOKUP(CONCATENATE($I$23,-1),alles!$D$1:$AA$208,(MATCH(M179,alles!$C$1:$C$208,0)),0))+(IF(N179="",0,HLOOKUP(CONCATENATE($I$23,-1),alles!$D$1:$AA$208,(MATCH(N179,alles!$C$1:$C$208,0)),0)))+(IF(O179="",0,HLOOKUP(CONCATENATE($I$23,-1),alles!$D$1:$AA$208,(MATCH(O179,alles!$C$1:$C$208,0)),0)))+(IF(P179="",0,HLOOKUP(CONCATENATE($I$23,-1),alles!$D$1:$AA$208,(MATCH(P179,alles!$C$1:$C$208,0)),0))+(IF(Q179="",0,(HLOOKUP(CONCATENATE($I$23,-1),alles!$D$1:$AA$208,(MATCH(Q179,alles!$C$1:$C$208,0)),0)))))))</f>
        <v>1955.32</v>
      </c>
      <c r="J179" s="242">
        <f>(HLOOKUP(CONCATENATE($I$23,-2),alles!$D$1:$AA$208,(MATCH(L179,alles!$C$1:$C$208,0)),0))+(IF(M179="",0,(HLOOKUP(CONCATENATE($I$23,-2),alles!$D$1:$AA$208,(MATCH(M179,alles!$C$1:$C$208,0)),0))+(IF(N179="",0,HLOOKUP(CONCATENATE($I$23,-2),alles!$D$1:$AA$208,(MATCH(N179,alles!$C$1:$C$208,0)),0)))+(IF(O179="",0,HLOOKUP(CONCATENATE($I$23,-2),alles!$D$1:$AA$208,(MATCH(O179,alles!$C$1:$C$208,0)),0)))+(IF(P179="",0,HLOOKUP(CONCATENATE($I$23,-2),alles!$D$1:$AA$208,(MATCH(P179,alles!$C$1:$C$208,0)),0))+(IF(Q179="",0,(HLOOKUP(CONCATENATE($I$23,-2),alles!$D$1:$AA$208,(MATCH(Q179,alles!$C$1:$C$208,0)),0)))))))</f>
        <v>2629.19</v>
      </c>
      <c r="L179" t="s">
        <v>374</v>
      </c>
    </row>
    <row r="180" spans="1:12" x14ac:dyDescent="0.2">
      <c r="A180" s="247" t="s">
        <v>274</v>
      </c>
      <c r="B180" s="248" t="s">
        <v>68</v>
      </c>
      <c r="C180" s="398">
        <f>(HLOOKUP(CONCATENATE($C$23,-1),alles!$D$1:$AA$208,(MATCH(L180,alles!$C$1:$C$208,0)),0))+(IF(M180="",0,(HLOOKUP(CONCATENATE($C$23,-1),alles!$D$1:$AA$208,(MATCH(M180,alles!$C$1:$C$208,0)),0))+(IF(N180="",0,HLOOKUP(CONCATENATE($C$23,-1),alles!$D$1:$AA$208,(MATCH(N180,alles!$C$1:$C$208,0)),0)))+(IF(O180="",0,HLOOKUP(CONCATENATE($C$23,-1),alles!$D$1:$AA$208,(MATCH(O180,alles!$C$1:$C$208,0)),0)))+(IF(P180="",0,HLOOKUP(CONCATENATE($C$23,-1),alles!$D$1:$AA$208,(MATCH(P180,alles!$C$1:$C$208,0)),0))+(IF(Q180="",0,(HLOOKUP(CONCATENATE($C$23,-1),alles!$D$1:$AA$208,(MATCH(Q180,alles!$C$1:$C$208,0)),0)))))))</f>
        <v>198</v>
      </c>
      <c r="D180" s="399">
        <f>(HLOOKUP(CONCATENATE($C$23,-2),alles!$D$1:$AA$208,(MATCH(L180,alles!$C$1:$C$208,0)),0))+(IF(M180="",0,(HLOOKUP(CONCATENATE($C$23,-2),alles!$D$1:$AA$208,(MATCH(M180,alles!$C$1:$C$208,0)),0))+(IF(N180="",0,HLOOKUP(CONCATENATE($C$23,-2),alles!$D$1:$AA$208,(MATCH(N180,alles!$C$1:$C$208,0)),0)))+(IF(O180="",0,HLOOKUP(CONCATENATE($C$23,-2),alles!$D$1:$AA$208,(MATCH(O180,alles!$C$1:$C$208,0)),0)))+(IF(P180="",0,HLOOKUP(CONCATENATE($C$23,-2),alles!$D$1:$AA$208,(MATCH(P180,alles!$C$1:$C$208,0)),0))+(IF(Q180="",0,(HLOOKUP(CONCATENATE($C$23,-2),alles!$D$1:$AA$208,(MATCH(Q180,alles!$C$1:$C$208,0)),0)))))))</f>
        <v>1430.13</v>
      </c>
      <c r="E180" s="394">
        <f>(HLOOKUP(CONCATENATE($E$23,-1),alles!$D$1:$AA$208,(MATCH(L180,alles!$C$1:$C$208,0)),0))+(IF(M180="",0,(HLOOKUP(CONCATENATE($E$23,-1),alles!$D$1:$AA$208,(MATCH(M180,alles!$C$1:$C$208,0)),0))+(IF(N180="",0,HLOOKUP(CONCATENATE($E$23,-1),alles!$D$1:$AA$208,(MATCH(N180,alles!$C$1:$C$208,0)),0)))+(IF(O180="",0,HLOOKUP(CONCATENATE($E$23,-1),alles!$D$1:$AA$208,(MATCH(O180,alles!$C$1:$C$208,0)),0)))+(IF(P180="",0,HLOOKUP(CONCATENATE($E$23,-1),alles!$D$1:$AA$208,(MATCH(P180,alles!$C$1:$C$208,0)),0))+(IF(Q180="",0,(HLOOKUP(CONCATENATE($E$23,-1),alles!$D$1:$AA$208,(MATCH(Q180,alles!$C$1:$C$208,0)),0)))))))</f>
        <v>1046.46</v>
      </c>
      <c r="F180" s="242">
        <f>(HLOOKUP(CONCATENATE($E$23,-2),alles!$D$1:$AA$208,(MATCH(L180,alles!$C$1:$C$208,0)),0))+(IF(M180="",0,(HLOOKUP(CONCATENATE($E$23,-2),alles!$D$1:$AA$208,(MATCH(M180,alles!$C$1:$C$208,0)),0))+(IF(N180="",0,HLOOKUP(CONCATENATE($E$23,-2),alles!$D$1:$AA$208,(MATCH(N180,alles!$C$1:$C$208,0)),0)))+(IF(O180="",0,HLOOKUP(CONCATENATE($E$23,-2),alles!$D$1:$AA$208,(MATCH(O180,alles!$C$1:$C$208,0)),0)))+(IF(P180="",0,HLOOKUP(CONCATENATE($E$23,-2),alles!$D$1:$AA$208,(MATCH(P180,alles!$C$1:$C$208,0)),0))+(IF(Q180="",0,(HLOOKUP(CONCATENATE($E$23,-2),alles!$D$1:$AA$208,(MATCH(Q180,alles!$C$1:$C$208,0)),0)))))))</f>
        <v>0</v>
      </c>
      <c r="G180" s="242">
        <f>(HLOOKUP(CONCATENATE($G$23,-1),alles!$D$1:$AA$208,(MATCH(L180,alles!$C$1:$C$208,0)),0))+(IF(M180="",0,(HLOOKUP(CONCATENATE($G$23,-1),alles!$D$1:$AA$208,(MATCH(M180,alles!$C$1:$C$208,0)),0))+(IF(N180="",0,HLOOKUP(CONCATENATE($G$23,-1),alles!$D$1:$AA$208,(MATCH(N180,alles!$C$1:$C$208,0)),0)))+(IF(O180="",0,HLOOKUP(CONCATENATE($G$23,-1),alles!$D$1:$AA$208,(MATCH(O180,alles!$C$1:$C$208,0)),0)))+(IF(P180="",0,HLOOKUP(CONCATENATE($G$23,-1),alles!$D$1:$AA$208,(MATCH(P180,alles!$C$1:$C$208,0)),0))+(IF(Q180="",0,(HLOOKUP(CONCATENATE($G$23,-1),alles!$D$1:$AA$208,(MATCH(Q180,alles!$C$1:$C$208,0)),0)))))))</f>
        <v>1160.29</v>
      </c>
      <c r="H180" s="242">
        <f>(HLOOKUP(CONCATENATE($G$23,-2),alles!$D$1:$AA$208,(MATCH(L180,alles!$C$1:$C$208,0)),0))+(IF(M180="",0,(HLOOKUP(CONCATENATE($G$23,-2),alles!$D$1:$AA$208,(MATCH(M180,alles!$C$1:$C$208,0)),0))+(IF(N180="",0,HLOOKUP(CONCATENATE($G$23,-2),alles!$D$1:$AA$208,(MATCH(N180,alles!$C$1:$C$208,0)),0)))+(IF(O180="",0,HLOOKUP(CONCATENATE($G$23,-2),alles!$D$1:$AA$208,(MATCH(O180,alles!$C$1:$C$208,0)),0)))+(IF(P180="",0,HLOOKUP(CONCATENATE($G$23,-2),alles!$D$1:$AA$208,(MATCH(P180,alles!$C$1:$C$208,0)),0))+(IF(Q180="",0,(HLOOKUP(CONCATENATE($G$23,-2),alles!$D$1:$AA$208,(MATCH(Q180,alles!$C$1:$C$208,0)),0)))))))</f>
        <v>1187.06</v>
      </c>
      <c r="I180" s="242">
        <f>(HLOOKUP(CONCATENATE($I$23,-1),alles!$D$1:$AA$208,(MATCH(L180,alles!$C$1:$C$208,0)),0))+(IF(M180="",0,(HLOOKUP(CONCATENATE($I$23,-1),alles!$D$1:$AA$208,(MATCH(M180,alles!$C$1:$C$208,0)),0))+(IF(N180="",0,HLOOKUP(CONCATENATE($I$23,-1),alles!$D$1:$AA$208,(MATCH(N180,alles!$C$1:$C$208,0)),0)))+(IF(O180="",0,HLOOKUP(CONCATENATE($I$23,-1),alles!$D$1:$AA$208,(MATCH(O180,alles!$C$1:$C$208,0)),0)))+(IF(P180="",0,HLOOKUP(CONCATENATE($I$23,-1),alles!$D$1:$AA$208,(MATCH(P180,alles!$C$1:$C$208,0)),0))+(IF(Q180="",0,(HLOOKUP(CONCATENATE($I$23,-1),alles!$D$1:$AA$208,(MATCH(Q180,alles!$C$1:$C$208,0)),0)))))))</f>
        <v>1116.21</v>
      </c>
      <c r="J180" s="242">
        <f>(HLOOKUP(CONCATENATE($I$23,-2),alles!$D$1:$AA$208,(MATCH(L180,alles!$C$1:$C$208,0)),0))+(IF(M180="",0,(HLOOKUP(CONCATENATE($I$23,-2),alles!$D$1:$AA$208,(MATCH(M180,alles!$C$1:$C$208,0)),0))+(IF(N180="",0,HLOOKUP(CONCATENATE($I$23,-2),alles!$D$1:$AA$208,(MATCH(N180,alles!$C$1:$C$208,0)),0)))+(IF(O180="",0,HLOOKUP(CONCATENATE($I$23,-2),alles!$D$1:$AA$208,(MATCH(O180,alles!$C$1:$C$208,0)),0)))+(IF(P180="",0,HLOOKUP(CONCATENATE($I$23,-2),alles!$D$1:$AA$208,(MATCH(P180,alles!$C$1:$C$208,0)),0))+(IF(Q180="",0,(HLOOKUP(CONCATENATE($I$23,-2),alles!$D$1:$AA$208,(MATCH(Q180,alles!$C$1:$C$208,0)),0)))))))</f>
        <v>1172.93</v>
      </c>
      <c r="L180" t="s">
        <v>281</v>
      </c>
    </row>
    <row r="181" spans="1:12" x14ac:dyDescent="0.2">
      <c r="A181" s="247" t="s">
        <v>95</v>
      </c>
      <c r="B181" s="248" t="s">
        <v>600</v>
      </c>
      <c r="C181" s="398">
        <f>(HLOOKUP(CONCATENATE($C$23,-1),alles!$D$1:$AA$208,(MATCH(L181,alles!$C$1:$C$208,0)),0))+(IF(M181="",0,(HLOOKUP(CONCATENATE($C$23,-1),alles!$D$1:$AA$208,(MATCH(M181,alles!$C$1:$C$208,0)),0))+(IF(N181="",0,HLOOKUP(CONCATENATE($C$23,-1),alles!$D$1:$AA$208,(MATCH(N181,alles!$C$1:$C$208,0)),0)))+(IF(O181="",0,HLOOKUP(CONCATENATE($C$23,-1),alles!$D$1:$AA$208,(MATCH(O181,alles!$C$1:$C$208,0)),0)))+(IF(P181="",0,HLOOKUP(CONCATENATE($C$23,-1),alles!$D$1:$AA$208,(MATCH(P181,alles!$C$1:$C$208,0)),0))+(IF(Q181="",0,(HLOOKUP(CONCATENATE($C$23,-1),alles!$D$1:$AA$208,(MATCH(Q181,alles!$C$1:$C$208,0)),0)))))))</f>
        <v>15862</v>
      </c>
      <c r="D181" s="399">
        <f>(HLOOKUP(CONCATENATE($C$23,-2),alles!$D$1:$AA$208,(MATCH(L181,alles!$C$1:$C$208,0)),0))+(IF(M181="",0,(HLOOKUP(CONCATENATE($C$23,-2),alles!$D$1:$AA$208,(MATCH(M181,alles!$C$1:$C$208,0)),0))+(IF(N181="",0,HLOOKUP(CONCATENATE($C$23,-2),alles!$D$1:$AA$208,(MATCH(N181,alles!$C$1:$C$208,0)),0)))+(IF(O181="",0,HLOOKUP(CONCATENATE($C$23,-2),alles!$D$1:$AA$208,(MATCH(O181,alles!$C$1:$C$208,0)),0)))+(IF(P181="",0,HLOOKUP(CONCATENATE($C$23,-2),alles!$D$1:$AA$208,(MATCH(P181,alles!$C$1:$C$208,0)),0))+(IF(Q181="",0,(HLOOKUP(CONCATENATE($C$23,-2),alles!$D$1:$AA$208,(MATCH(Q181,alles!$C$1:$C$208,0)),0)))))))</f>
        <v>10128.14</v>
      </c>
      <c r="E181" s="394">
        <f>(HLOOKUP(CONCATENATE($E$23,-1),alles!$D$1:$AA$208,(MATCH(L181,alles!$C$1:$C$208,0)),0))+(IF(M181="",0,(HLOOKUP(CONCATENATE($E$23,-1),alles!$D$1:$AA$208,(MATCH(M181,alles!$C$1:$C$208,0)),0))+(IF(N181="",0,HLOOKUP(CONCATENATE($E$23,-1),alles!$D$1:$AA$208,(MATCH(N181,alles!$C$1:$C$208,0)),0)))+(IF(O181="",0,HLOOKUP(CONCATENATE($E$23,-1),alles!$D$1:$AA$208,(MATCH(O181,alles!$C$1:$C$208,0)),0)))+(IF(P181="",0,HLOOKUP(CONCATENATE($E$23,-1),alles!$D$1:$AA$208,(MATCH(P181,alles!$C$1:$C$208,0)),0))+(IF(Q181="",0,(HLOOKUP(CONCATENATE($E$23,-1),alles!$D$1:$AA$208,(MATCH(Q181,alles!$C$1:$C$208,0)),0)))))))</f>
        <v>16126.76</v>
      </c>
      <c r="F181" s="242">
        <f>(HLOOKUP(CONCATENATE($E$23,-2),alles!$D$1:$AA$208,(MATCH(L181,alles!$C$1:$C$208,0)),0))+(IF(M181="",0,(HLOOKUP(CONCATENATE($E$23,-2),alles!$D$1:$AA$208,(MATCH(M181,alles!$C$1:$C$208,0)),0))+(IF(N181="",0,HLOOKUP(CONCATENATE($E$23,-2),alles!$D$1:$AA$208,(MATCH(N181,alles!$C$1:$C$208,0)),0)))+(IF(O181="",0,HLOOKUP(CONCATENATE($E$23,-2),alles!$D$1:$AA$208,(MATCH(O181,alles!$C$1:$C$208,0)),0)))+(IF(P181="",0,HLOOKUP(CONCATENATE($E$23,-2),alles!$D$1:$AA$208,(MATCH(P181,alles!$C$1:$C$208,0)),0))+(IF(Q181="",0,(HLOOKUP(CONCATENATE($E$23,-2),alles!$D$1:$AA$208,(MATCH(Q181,alles!$C$1:$C$208,0)),0)))))))</f>
        <v>0</v>
      </c>
      <c r="G181" s="242">
        <f>(HLOOKUP(CONCATENATE($G$23,-1),alles!$D$1:$AA$208,(MATCH(L181,alles!$C$1:$C$208,0)),0))+(IF(M181="",0,(HLOOKUP(CONCATENATE($G$23,-1),alles!$D$1:$AA$208,(MATCH(M181,alles!$C$1:$C$208,0)),0))+(IF(N181="",0,HLOOKUP(CONCATENATE($G$23,-1),alles!$D$1:$AA$208,(MATCH(N181,alles!$C$1:$C$208,0)),0)))+(IF(O181="",0,HLOOKUP(CONCATENATE($G$23,-1),alles!$D$1:$AA$208,(MATCH(O181,alles!$C$1:$C$208,0)),0)))+(IF(P181="",0,HLOOKUP(CONCATENATE($G$23,-1),alles!$D$1:$AA$208,(MATCH(P181,alles!$C$1:$C$208,0)),0))+(IF(Q181="",0,(HLOOKUP(CONCATENATE($G$23,-1),alles!$D$1:$AA$208,(MATCH(Q181,alles!$C$1:$C$208,0)),0)))))))</f>
        <v>9896.89</v>
      </c>
      <c r="H181" s="242">
        <f>(HLOOKUP(CONCATENATE($G$23,-2),alles!$D$1:$AA$208,(MATCH(L181,alles!$C$1:$C$208,0)),0))+(IF(M181="",0,(HLOOKUP(CONCATENATE($G$23,-2),alles!$D$1:$AA$208,(MATCH(M181,alles!$C$1:$C$208,0)),0))+(IF(N181="",0,HLOOKUP(CONCATENATE($G$23,-2),alles!$D$1:$AA$208,(MATCH(N181,alles!$C$1:$C$208,0)),0)))+(IF(O181="",0,HLOOKUP(CONCATENATE($G$23,-2),alles!$D$1:$AA$208,(MATCH(O181,alles!$C$1:$C$208,0)),0)))+(IF(P181="",0,HLOOKUP(CONCATENATE($G$23,-2),alles!$D$1:$AA$208,(MATCH(P181,alles!$C$1:$C$208,0)),0))+(IF(Q181="",0,(HLOOKUP(CONCATENATE($G$23,-2),alles!$D$1:$AA$208,(MATCH(Q181,alles!$C$1:$C$208,0)),0)))))))</f>
        <v>10573.27</v>
      </c>
      <c r="I181" s="242">
        <f>(HLOOKUP(CONCATENATE($I$23,-1),alles!$D$1:$AA$208,(MATCH(L181,alles!$C$1:$C$208,0)),0))+(IF(M181="",0,(HLOOKUP(CONCATENATE($I$23,-1),alles!$D$1:$AA$208,(MATCH(M181,alles!$C$1:$C$208,0)),0))+(IF(N181="",0,HLOOKUP(CONCATENATE($I$23,-1),alles!$D$1:$AA$208,(MATCH(N181,alles!$C$1:$C$208,0)),0)))+(IF(O181="",0,HLOOKUP(CONCATENATE($I$23,-1),alles!$D$1:$AA$208,(MATCH(O181,alles!$C$1:$C$208,0)),0)))+(IF(P181="",0,HLOOKUP(CONCATENATE($I$23,-1),alles!$D$1:$AA$208,(MATCH(P181,alles!$C$1:$C$208,0)),0))+(IF(Q181="",0,(HLOOKUP(CONCATENATE($I$23,-1),alles!$D$1:$AA$208,(MATCH(Q181,alles!$C$1:$C$208,0)),0)))))))</f>
        <v>12876.15</v>
      </c>
      <c r="J181" s="242">
        <f>(HLOOKUP(CONCATENATE($I$23,-2),alles!$D$1:$AA$208,(MATCH(L181,alles!$C$1:$C$208,0)),0))+(IF(M181="",0,(HLOOKUP(CONCATENATE($I$23,-2),alles!$D$1:$AA$208,(MATCH(M181,alles!$C$1:$C$208,0)),0))+(IF(N181="",0,HLOOKUP(CONCATENATE($I$23,-2),alles!$D$1:$AA$208,(MATCH(N181,alles!$C$1:$C$208,0)),0)))+(IF(O181="",0,HLOOKUP(CONCATENATE($I$23,-2),alles!$D$1:$AA$208,(MATCH(O181,alles!$C$1:$C$208,0)),0)))+(IF(P181="",0,HLOOKUP(CONCATENATE($I$23,-2),alles!$D$1:$AA$208,(MATCH(P181,alles!$C$1:$C$208,0)),0))+(IF(Q181="",0,(HLOOKUP(CONCATENATE($I$23,-2),alles!$D$1:$AA$208,(MATCH(Q181,alles!$C$1:$C$208,0)),0)))))))</f>
        <v>12537.37</v>
      </c>
      <c r="L181" t="s">
        <v>282</v>
      </c>
    </row>
    <row r="182" spans="1:12" x14ac:dyDescent="0.2">
      <c r="A182" s="243" t="s">
        <v>400</v>
      </c>
      <c r="B182" s="237" t="s">
        <v>100</v>
      </c>
      <c r="C182" s="398">
        <f>(HLOOKUP(CONCATENATE($C$23,-1),alles!$D$1:$AA$208,(MATCH(L182,alles!$C$1:$C$208,0)),0))+(IF(M182="",0,(HLOOKUP(CONCATENATE($C$23,-1),alles!$D$1:$AA$208,(MATCH(M182,alles!$C$1:$C$208,0)),0))+(IF(N182="",0,HLOOKUP(CONCATENATE($C$23,-1),alles!$D$1:$AA$208,(MATCH(N182,alles!$C$1:$C$208,0)),0)))+(IF(O182="",0,HLOOKUP(CONCATENATE($C$23,-1),alles!$D$1:$AA$208,(MATCH(O182,alles!$C$1:$C$208,0)),0)))+(IF(P182="",0,HLOOKUP(CONCATENATE($C$23,-1),alles!$D$1:$AA$208,(MATCH(P182,alles!$C$1:$C$208,0)),0))+(IF(Q182="",0,(HLOOKUP(CONCATENATE($C$23,-1),alles!$D$1:$AA$208,(MATCH(Q182,alles!$C$1:$C$208,0)),0)))))))</f>
        <v>344</v>
      </c>
      <c r="D182" s="399">
        <f>(HLOOKUP(CONCATENATE($C$23,-2),alles!$D$1:$AA$208,(MATCH(L182,alles!$C$1:$C$208,0)),0))+(IF(M182="",0,(HLOOKUP(CONCATENATE($C$23,-2),alles!$D$1:$AA$208,(MATCH(M182,alles!$C$1:$C$208,0)),0))+(IF(N182="",0,HLOOKUP(CONCATENATE($C$23,-2),alles!$D$1:$AA$208,(MATCH(N182,alles!$C$1:$C$208,0)),0)))+(IF(O182="",0,HLOOKUP(CONCATENATE($C$23,-2),alles!$D$1:$AA$208,(MATCH(O182,alles!$C$1:$C$208,0)),0)))+(IF(P182="",0,HLOOKUP(CONCATENATE($C$23,-2),alles!$D$1:$AA$208,(MATCH(P182,alles!$C$1:$C$208,0)),0))+(IF(Q182="",0,(HLOOKUP(CONCATENATE($C$23,-2),alles!$D$1:$AA$208,(MATCH(Q182,alles!$C$1:$C$208,0)),0)))))))</f>
        <v>141.76</v>
      </c>
      <c r="E182" s="394">
        <f>(HLOOKUP(CONCATENATE($E$23,-1),alles!$D$1:$AA$208,(MATCH(L182,alles!$C$1:$C$208,0)),0))+(IF(M182="",0,(HLOOKUP(CONCATENATE($E$23,-1),alles!$D$1:$AA$208,(MATCH(M182,alles!$C$1:$C$208,0)),0))+(IF(N182="",0,HLOOKUP(CONCATENATE($E$23,-1),alles!$D$1:$AA$208,(MATCH(N182,alles!$C$1:$C$208,0)),0)))+(IF(O182="",0,HLOOKUP(CONCATENATE($E$23,-1),alles!$D$1:$AA$208,(MATCH(O182,alles!$C$1:$C$208,0)),0)))+(IF(P182="",0,HLOOKUP(CONCATENATE($E$23,-1),alles!$D$1:$AA$208,(MATCH(P182,alles!$C$1:$C$208,0)),0))+(IF(Q182="",0,(HLOOKUP(CONCATENATE($E$23,-1),alles!$D$1:$AA$208,(MATCH(Q182,alles!$C$1:$C$208,0)),0)))))))</f>
        <v>1514.68</v>
      </c>
      <c r="F182" s="242">
        <f>(HLOOKUP(CONCATENATE($E$23,-2),alles!$D$1:$AA$208,(MATCH(L182,alles!$C$1:$C$208,0)),0))+(IF(M182="",0,(HLOOKUP(CONCATENATE($E$23,-2),alles!$D$1:$AA$208,(MATCH(M182,alles!$C$1:$C$208,0)),0))+(IF(N182="",0,HLOOKUP(CONCATENATE($E$23,-2),alles!$D$1:$AA$208,(MATCH(N182,alles!$C$1:$C$208,0)),0)))+(IF(O182="",0,HLOOKUP(CONCATENATE($E$23,-2),alles!$D$1:$AA$208,(MATCH(O182,alles!$C$1:$C$208,0)),0)))+(IF(P182="",0,HLOOKUP(CONCATENATE($E$23,-2),alles!$D$1:$AA$208,(MATCH(P182,alles!$C$1:$C$208,0)),0))+(IF(Q182="",0,(HLOOKUP(CONCATENATE($E$23,-2),alles!$D$1:$AA$208,(MATCH(Q182,alles!$C$1:$C$208,0)),0)))))))</f>
        <v>0</v>
      </c>
      <c r="G182" s="242">
        <f>(HLOOKUP(CONCATENATE($G$23,-1),alles!$D$1:$AA$208,(MATCH(L182,alles!$C$1:$C$208,0)),0))+(IF(M182="",0,(HLOOKUP(CONCATENATE($G$23,-1),alles!$D$1:$AA$208,(MATCH(M182,alles!$C$1:$C$208,0)),0))+(IF(N182="",0,HLOOKUP(CONCATENATE($G$23,-1),alles!$D$1:$AA$208,(MATCH(N182,alles!$C$1:$C$208,0)),0)))+(IF(O182="",0,HLOOKUP(CONCATENATE($G$23,-1),alles!$D$1:$AA$208,(MATCH(O182,alles!$C$1:$C$208,0)),0)))+(IF(P182="",0,HLOOKUP(CONCATENATE($G$23,-1),alles!$D$1:$AA$208,(MATCH(P182,alles!$C$1:$C$208,0)),0))+(IF(Q182="",0,(HLOOKUP(CONCATENATE($G$23,-1),alles!$D$1:$AA$208,(MATCH(Q182,alles!$C$1:$C$208,0)),0)))))))</f>
        <v>2072.25</v>
      </c>
      <c r="H182" s="242">
        <f>(HLOOKUP(CONCATENATE($G$23,-2),alles!$D$1:$AA$208,(MATCH(L182,alles!$C$1:$C$208,0)),0))+(IF(M182="",0,(HLOOKUP(CONCATENATE($G$23,-2),alles!$D$1:$AA$208,(MATCH(M182,alles!$C$1:$C$208,0)),0))+(IF(N182="",0,HLOOKUP(CONCATENATE($G$23,-2),alles!$D$1:$AA$208,(MATCH(N182,alles!$C$1:$C$208,0)),0)))+(IF(O182="",0,HLOOKUP(CONCATENATE($G$23,-2),alles!$D$1:$AA$208,(MATCH(O182,alles!$C$1:$C$208,0)),0)))+(IF(P182="",0,HLOOKUP(CONCATENATE($G$23,-2),alles!$D$1:$AA$208,(MATCH(P182,alles!$C$1:$C$208,0)),0))+(IF(Q182="",0,(HLOOKUP(CONCATENATE($G$23,-2),alles!$D$1:$AA$208,(MATCH(Q182,alles!$C$1:$C$208,0)),0)))))))</f>
        <v>1326.32</v>
      </c>
      <c r="I182" s="242">
        <f>(HLOOKUP(CONCATENATE($I$23,-1),alles!$D$1:$AA$208,(MATCH(L182,alles!$C$1:$C$208,0)),0))+(IF(M182="",0,(HLOOKUP(CONCATENATE($I$23,-1),alles!$D$1:$AA$208,(MATCH(M182,alles!$C$1:$C$208,0)),0))+(IF(N182="",0,HLOOKUP(CONCATENATE($I$23,-1),alles!$D$1:$AA$208,(MATCH(N182,alles!$C$1:$C$208,0)),0)))+(IF(O182="",0,HLOOKUP(CONCATENATE($I$23,-1),alles!$D$1:$AA$208,(MATCH(O182,alles!$C$1:$C$208,0)),0)))+(IF(P182="",0,HLOOKUP(CONCATENATE($I$23,-1),alles!$D$1:$AA$208,(MATCH(P182,alles!$C$1:$C$208,0)),0))+(IF(Q182="",0,(HLOOKUP(CONCATENATE($I$23,-1),alles!$D$1:$AA$208,(MATCH(Q182,alles!$C$1:$C$208,0)),0)))))))</f>
        <v>1698.12</v>
      </c>
      <c r="J182" s="242">
        <f>(HLOOKUP(CONCATENATE($I$23,-2),alles!$D$1:$AA$208,(MATCH(L182,alles!$C$1:$C$208,0)),0))+(IF(M182="",0,(HLOOKUP(CONCATENATE($I$23,-2),alles!$D$1:$AA$208,(MATCH(M182,alles!$C$1:$C$208,0)),0))+(IF(N182="",0,HLOOKUP(CONCATENATE($I$23,-2),alles!$D$1:$AA$208,(MATCH(N182,alles!$C$1:$C$208,0)),0)))+(IF(O182="",0,HLOOKUP(CONCATENATE($I$23,-2),alles!$D$1:$AA$208,(MATCH(O182,alles!$C$1:$C$208,0)),0)))+(IF(P182="",0,HLOOKUP(CONCATENATE($I$23,-2),alles!$D$1:$AA$208,(MATCH(P182,alles!$C$1:$C$208,0)),0))+(IF(Q182="",0,(HLOOKUP(CONCATENATE($I$23,-2),alles!$D$1:$AA$208,(MATCH(Q182,alles!$C$1:$C$208,0)),0)))))))</f>
        <v>740.36</v>
      </c>
      <c r="L182" t="s">
        <v>380</v>
      </c>
    </row>
    <row r="183" spans="1:12" ht="17" thickBot="1" x14ac:dyDescent="0.25">
      <c r="A183" s="244"/>
      <c r="B183" s="392" t="s">
        <v>31</v>
      </c>
      <c r="C183" s="400">
        <f t="shared" ref="C183:J183" si="9">SUM(C168:C182)</f>
        <v>32951</v>
      </c>
      <c r="D183" s="401">
        <f t="shared" si="9"/>
        <v>30710.69</v>
      </c>
      <c r="E183" s="395">
        <f t="shared" si="9"/>
        <v>40249.040000000001</v>
      </c>
      <c r="F183" s="246">
        <f t="shared" si="9"/>
        <v>0</v>
      </c>
      <c r="G183" s="246">
        <f t="shared" si="9"/>
        <v>36548.855000000003</v>
      </c>
      <c r="H183" s="246">
        <f t="shared" si="9"/>
        <v>37903.72</v>
      </c>
      <c r="I183" s="246">
        <f t="shared" si="9"/>
        <v>40817.86</v>
      </c>
      <c r="J183" s="246">
        <f t="shared" si="9"/>
        <v>41705.019999999997</v>
      </c>
    </row>
    <row r="184" spans="1:12" ht="6" customHeight="1" x14ac:dyDescent="0.2">
      <c r="A184" s="234"/>
      <c r="B184" s="428"/>
      <c r="C184" s="429"/>
      <c r="D184" s="429"/>
      <c r="E184" s="429"/>
      <c r="F184" s="429"/>
      <c r="G184" s="429"/>
      <c r="H184" s="429"/>
      <c r="I184" s="429"/>
      <c r="J184" s="429"/>
    </row>
    <row r="185" spans="1:12" x14ac:dyDescent="0.2">
      <c r="A185" s="234"/>
      <c r="B185" s="428"/>
      <c r="C185" s="429"/>
      <c r="D185" s="429"/>
      <c r="E185" s="429"/>
      <c r="F185" s="429"/>
      <c r="G185" s="429"/>
      <c r="H185" s="429"/>
      <c r="I185" s="429"/>
      <c r="J185" s="429"/>
    </row>
    <row r="186" spans="1:12" x14ac:dyDescent="0.2">
      <c r="A186" s="234"/>
      <c r="B186" s="428"/>
      <c r="C186" s="429"/>
      <c r="D186" s="429"/>
      <c r="E186" s="429"/>
      <c r="F186" s="429"/>
      <c r="G186" s="429"/>
      <c r="H186" s="429"/>
      <c r="I186" s="429"/>
      <c r="J186" s="429"/>
    </row>
    <row r="187" spans="1:12" x14ac:dyDescent="0.2">
      <c r="A187" s="234"/>
      <c r="B187" s="428"/>
      <c r="C187" s="429"/>
      <c r="D187" s="429"/>
      <c r="E187" s="429"/>
      <c r="F187" s="429"/>
      <c r="G187" s="429"/>
      <c r="H187" s="429"/>
      <c r="I187" s="429"/>
      <c r="J187" s="429"/>
    </row>
    <row r="188" spans="1:12" x14ac:dyDescent="0.2">
      <c r="A188" s="234"/>
      <c r="B188" s="428"/>
      <c r="C188" s="429"/>
      <c r="D188" s="429"/>
      <c r="E188" s="429"/>
      <c r="F188" s="429"/>
      <c r="G188" s="429"/>
      <c r="H188" s="429"/>
      <c r="I188" s="429"/>
      <c r="J188" s="429"/>
    </row>
    <row r="189" spans="1:12" x14ac:dyDescent="0.2">
      <c r="A189" s="234"/>
      <c r="B189" s="428"/>
      <c r="C189" s="429"/>
      <c r="D189" s="429"/>
      <c r="E189" s="429"/>
      <c r="F189" s="429"/>
      <c r="G189" s="429"/>
      <c r="H189" s="429"/>
      <c r="I189" s="429"/>
      <c r="J189" s="429"/>
    </row>
    <row r="190" spans="1:12" x14ac:dyDescent="0.2">
      <c r="A190" s="234"/>
      <c r="B190" s="428"/>
      <c r="C190" s="429"/>
      <c r="D190" s="429"/>
      <c r="E190" s="429"/>
      <c r="F190" s="429"/>
      <c r="G190" s="429"/>
      <c r="H190" s="429"/>
      <c r="I190" s="429"/>
      <c r="J190" s="429"/>
    </row>
    <row r="191" spans="1:12" x14ac:dyDescent="0.2">
      <c r="A191" s="234"/>
      <c r="B191" s="428"/>
      <c r="C191" s="429"/>
      <c r="D191" s="429"/>
      <c r="E191" s="429"/>
      <c r="F191" s="429"/>
      <c r="G191" s="429"/>
      <c r="H191" s="429"/>
      <c r="I191" s="429"/>
      <c r="J191" s="429"/>
    </row>
    <row r="192" spans="1:12" x14ac:dyDescent="0.2">
      <c r="A192" s="234"/>
      <c r="B192" s="428"/>
      <c r="C192" s="429"/>
      <c r="D192" s="429"/>
      <c r="E192" s="429"/>
      <c r="F192" s="429"/>
      <c r="G192" s="429"/>
      <c r="H192" s="429"/>
      <c r="I192" s="429"/>
      <c r="J192" s="429"/>
    </row>
    <row r="193" spans="1:13" x14ac:dyDescent="0.2">
      <c r="A193" s="234"/>
      <c r="B193" s="428"/>
      <c r="C193" s="429"/>
      <c r="D193" s="429"/>
      <c r="E193" s="429"/>
      <c r="F193" s="429"/>
      <c r="G193" s="429"/>
      <c r="H193" s="429"/>
      <c r="I193" s="429"/>
      <c r="J193" s="429"/>
    </row>
    <row r="194" spans="1:13" x14ac:dyDescent="0.2">
      <c r="A194" s="234"/>
      <c r="B194" s="428"/>
      <c r="C194" s="429"/>
      <c r="D194" s="429"/>
      <c r="E194" s="429"/>
      <c r="F194" s="429"/>
      <c r="G194" s="429"/>
      <c r="H194" s="429"/>
      <c r="I194" s="429"/>
      <c r="J194" s="429"/>
    </row>
    <row r="195" spans="1:13" x14ac:dyDescent="0.2">
      <c r="A195" s="234"/>
      <c r="B195" s="428"/>
      <c r="C195" s="429"/>
      <c r="D195" s="429"/>
      <c r="E195" s="429"/>
      <c r="F195" s="429"/>
      <c r="G195" s="429"/>
      <c r="H195" s="429"/>
      <c r="I195" s="429"/>
      <c r="J195" s="429"/>
    </row>
    <row r="196" spans="1:13" x14ac:dyDescent="0.2">
      <c r="A196" s="234"/>
      <c r="B196" s="234"/>
      <c r="C196" s="234"/>
      <c r="D196" s="234"/>
      <c r="E196" s="234"/>
      <c r="F196" s="234"/>
      <c r="G196" s="234"/>
      <c r="H196" s="234"/>
      <c r="I196" s="234"/>
      <c r="J196" s="234"/>
    </row>
    <row r="197" spans="1:13" x14ac:dyDescent="0.2">
      <c r="A197" s="234" t="s">
        <v>601</v>
      </c>
      <c r="B197" s="234">
        <v>2021</v>
      </c>
      <c r="C197" s="234"/>
      <c r="D197" s="234"/>
      <c r="E197" s="234"/>
      <c r="F197" s="234"/>
      <c r="G197" s="234"/>
      <c r="H197" s="234"/>
      <c r="I197" s="234"/>
      <c r="J197" s="250"/>
    </row>
    <row r="198" spans="1:13" ht="6" customHeight="1" x14ac:dyDescent="0.2">
      <c r="A198" s="234"/>
      <c r="B198" s="234"/>
      <c r="C198" s="234"/>
      <c r="D198" s="234"/>
      <c r="E198" s="234"/>
      <c r="F198" s="234"/>
      <c r="G198" s="234"/>
      <c r="H198" s="234"/>
      <c r="I198" s="234"/>
      <c r="J198" s="250"/>
    </row>
    <row r="199" spans="1:13" x14ac:dyDescent="0.2">
      <c r="A199" s="372" t="s">
        <v>285</v>
      </c>
      <c r="B199" s="373"/>
      <c r="C199" s="373"/>
      <c r="D199" s="373"/>
      <c r="E199" s="373"/>
      <c r="F199" s="373"/>
      <c r="G199" s="373"/>
      <c r="H199" s="373"/>
      <c r="I199" s="374"/>
      <c r="J199" s="250"/>
    </row>
    <row r="200" spans="1:13" ht="34" x14ac:dyDescent="0.2">
      <c r="A200" s="348"/>
      <c r="B200" s="348" t="s">
        <v>20</v>
      </c>
      <c r="C200" s="375" t="s">
        <v>18</v>
      </c>
      <c r="D200" s="375" t="s">
        <v>19</v>
      </c>
      <c r="E200" s="375" t="s">
        <v>31</v>
      </c>
      <c r="F200" s="465" t="s">
        <v>290</v>
      </c>
      <c r="G200" s="375" t="s">
        <v>18</v>
      </c>
      <c r="H200" s="375" t="s">
        <v>19</v>
      </c>
      <c r="I200" s="375" t="s">
        <v>31</v>
      </c>
      <c r="J200" s="250"/>
    </row>
    <row r="201" spans="1:13" x14ac:dyDescent="0.2">
      <c r="A201" s="348" t="s">
        <v>35</v>
      </c>
      <c r="B201" s="348" t="s">
        <v>287</v>
      </c>
      <c r="C201" s="349">
        <f>(HLOOKUP(CONCATENATE($B$197,-1),alles!$D$1:$AA$208,(MATCH(L201,alles!$C$1:$C$208,0)),0))</f>
        <v>5309</v>
      </c>
      <c r="D201" s="349">
        <f>(HLOOKUP(CONCATENATE($B$197,-2),alles!$D$1:$AA$208,(MATCH(L201,alles!$C$1:$C$208,0)),0))</f>
        <v>6017</v>
      </c>
      <c r="E201" s="349">
        <f>C201+D201</f>
        <v>11326</v>
      </c>
      <c r="F201" s="350">
        <f>(HLOOKUP($B$197,'CO2 equivalenten'!$D$4:$P$218,(MATCH(M201,'CO2 equivalenten'!$C$4:$C$218,0)),0))</f>
        <v>1.884E-3</v>
      </c>
      <c r="G201" s="351">
        <f>C201*F201</f>
        <v>10.002155999999999</v>
      </c>
      <c r="H201" s="351">
        <f>D201*F201</f>
        <v>11.336028000000001</v>
      </c>
      <c r="I201" s="351">
        <f>G201+H201</f>
        <v>21.338183999999998</v>
      </c>
      <c r="J201" s="250"/>
      <c r="L201" t="s">
        <v>291</v>
      </c>
      <c r="M201" t="s">
        <v>305</v>
      </c>
    </row>
    <row r="202" spans="1:13" ht="34" x14ac:dyDescent="0.2">
      <c r="A202" s="419" t="s">
        <v>420</v>
      </c>
      <c r="B202" s="348" t="s">
        <v>21</v>
      </c>
      <c r="C202" s="349">
        <f>SUM(C203:C206)</f>
        <v>282651.60000000003</v>
      </c>
      <c r="D202" s="349">
        <f>SUM(D203:D206)</f>
        <v>255652.70000000004</v>
      </c>
      <c r="E202" s="349">
        <f t="shared" ref="E202:E215" si="10">C202+D202</f>
        <v>538304.30000000005</v>
      </c>
      <c r="F202" s="350" t="s">
        <v>401</v>
      </c>
      <c r="G202" s="351">
        <f>SUM(G203:G206)</f>
        <v>922.00951920000011</v>
      </c>
      <c r="H202" s="351">
        <f>SUM(H203:H206)</f>
        <v>833.93910740000013</v>
      </c>
      <c r="I202" s="351">
        <f t="shared" ref="I202:I210" si="11">G202+H202</f>
        <v>1755.9486266000004</v>
      </c>
      <c r="J202" s="250"/>
      <c r="L202" t="s">
        <v>292</v>
      </c>
    </row>
    <row r="203" spans="1:13" x14ac:dyDescent="0.2">
      <c r="A203" s="354" t="s">
        <v>14</v>
      </c>
      <c r="B203" s="354" t="s">
        <v>21</v>
      </c>
      <c r="C203" s="355">
        <f>(HLOOKUP(CONCATENATE($B$197,-1),alles!$D$1:$AA$208,(MATCH(L203,alles!$C$1:$C$208,0)),0))</f>
        <v>282651.60000000003</v>
      </c>
      <c r="D203" s="355">
        <f>(HLOOKUP(CONCATENATE($B$197,-2),alles!$D$1:$AA$208,(MATCH(L203,alles!$C$1:$C$208,0)),0))</f>
        <v>255652.70000000004</v>
      </c>
      <c r="E203" s="355">
        <f t="shared" si="10"/>
        <v>538304.30000000005</v>
      </c>
      <c r="F203" s="356">
        <f>(HLOOKUP($B$197,'CO2 equivalenten'!$D$4:$P$218,(MATCH(M203,'CO2 equivalenten'!$C$4:$C$218,0)),0))</f>
        <v>3.2620000000000001E-3</v>
      </c>
      <c r="G203" s="357">
        <f t="shared" ref="G203:G210" si="12">C203*F203</f>
        <v>922.00951920000011</v>
      </c>
      <c r="H203" s="357">
        <f t="shared" ref="H203:H210" si="13">D203*F203</f>
        <v>833.93910740000013</v>
      </c>
      <c r="I203" s="358">
        <f t="shared" si="11"/>
        <v>1755.9486266000004</v>
      </c>
      <c r="J203" s="250"/>
      <c r="L203" t="s">
        <v>414</v>
      </c>
      <c r="M203" t="s">
        <v>306</v>
      </c>
    </row>
    <row r="204" spans="1:13" x14ac:dyDescent="0.2">
      <c r="A204" s="366" t="s">
        <v>15</v>
      </c>
      <c r="B204" s="366" t="s">
        <v>21</v>
      </c>
      <c r="C204" s="367">
        <f>(HLOOKUP(CONCATENATE($B$197,-1),alles!$D$1:$AA$208,(MATCH(L204,alles!$C$1:$C$208,0)),0))</f>
        <v>0</v>
      </c>
      <c r="D204" s="367">
        <f>(HLOOKUP(CONCATENATE($B$197,-2),alles!$D$1:$AA$208,(MATCH(L204,alles!$C$1:$C$208,0)),0))</f>
        <v>0</v>
      </c>
      <c r="E204" s="367">
        <f t="shared" ref="E204" si="14">C204+D204</f>
        <v>0</v>
      </c>
      <c r="F204" s="368">
        <f>(HLOOKUP($B$197,'CO2 equivalenten'!$D$4:$P$218,(MATCH(M204,'CO2 equivalenten'!$C$4:$C$218,0)),0))</f>
        <v>2.784E-3</v>
      </c>
      <c r="G204" s="369">
        <f t="shared" ref="G204" si="15">C204*F204</f>
        <v>0</v>
      </c>
      <c r="H204" s="369">
        <f t="shared" ref="H204" si="16">D204*F204</f>
        <v>0</v>
      </c>
      <c r="I204" s="370">
        <f t="shared" ref="I204" si="17">G204+H204</f>
        <v>0</v>
      </c>
      <c r="J204" s="250"/>
      <c r="L204" t="s">
        <v>405</v>
      </c>
      <c r="M204" t="s">
        <v>308</v>
      </c>
    </row>
    <row r="205" spans="1:13" x14ac:dyDescent="0.2">
      <c r="A205" s="366" t="s">
        <v>403</v>
      </c>
      <c r="B205" s="366" t="s">
        <v>21</v>
      </c>
      <c r="C205" s="367">
        <f>(HLOOKUP(CONCATENATE($B$197,-1),alles!$D$1:$AA$208,(MATCH(L205,alles!$C$1:$C$208,0)),0))</f>
        <v>0</v>
      </c>
      <c r="D205" s="367">
        <f>(HLOOKUP(CONCATENATE($B$197,-2),alles!$D$1:$AA$208,(MATCH(L205,alles!$C$1:$C$208,0)),0))</f>
        <v>0</v>
      </c>
      <c r="E205" s="367">
        <f t="shared" si="10"/>
        <v>0</v>
      </c>
      <c r="F205" s="368">
        <f>(HLOOKUP($B$197,'CO2 equivalenten'!$D$4:$P$218,(MATCH(M205,'CO2 equivalenten'!$C$4:$C$218,0)),0))</f>
        <v>3.1399999999999999E-4</v>
      </c>
      <c r="G205" s="369">
        <f t="shared" si="12"/>
        <v>0</v>
      </c>
      <c r="H205" s="369">
        <f t="shared" si="13"/>
        <v>0</v>
      </c>
      <c r="I205" s="370">
        <f t="shared" si="11"/>
        <v>0</v>
      </c>
      <c r="J205" s="250"/>
      <c r="L205" t="s">
        <v>404</v>
      </c>
      <c r="M205" t="s">
        <v>403</v>
      </c>
    </row>
    <row r="206" spans="1:13" x14ac:dyDescent="0.2">
      <c r="A206" s="360" t="s">
        <v>16</v>
      </c>
      <c r="B206" s="360" t="s">
        <v>21</v>
      </c>
      <c r="C206" s="361">
        <f>(HLOOKUP(CONCATENATE($B$197,-1),alles!$D$1:$AA$208,(MATCH(L206,alles!$C$1:$C$208,0)),0))</f>
        <v>0</v>
      </c>
      <c r="D206" s="361">
        <f>(HLOOKUP(CONCATENATE($B$197,-2),alles!$D$1:$AA$208,(MATCH(L206,alles!$C$1:$C$208,0)),0))</f>
        <v>0</v>
      </c>
      <c r="E206" s="361">
        <f t="shared" si="10"/>
        <v>0</v>
      </c>
      <c r="F206" s="362">
        <f>(HLOOKUP($B$197,'CO2 equivalenten'!$D$4:$P$218,(MATCH(M206,'CO2 equivalenten'!$C$4:$C$218,0)),0))</f>
        <v>1.7980000000000001E-3</v>
      </c>
      <c r="G206" s="363">
        <f t="shared" si="12"/>
        <v>0</v>
      </c>
      <c r="H206" s="363">
        <f t="shared" si="13"/>
        <v>0</v>
      </c>
      <c r="I206" s="364">
        <f t="shared" si="11"/>
        <v>0</v>
      </c>
      <c r="J206" s="250"/>
      <c r="L206" t="s">
        <v>407</v>
      </c>
      <c r="M206" t="s">
        <v>16</v>
      </c>
    </row>
    <row r="207" spans="1:13" x14ac:dyDescent="0.2">
      <c r="A207" s="348" t="s">
        <v>402</v>
      </c>
      <c r="B207" s="348" t="s">
        <v>21</v>
      </c>
      <c r="C207" s="349">
        <f>SUM(C208:C210)</f>
        <v>5266</v>
      </c>
      <c r="D207" s="349">
        <f>SUM(D208:D210)</f>
        <v>6200</v>
      </c>
      <c r="E207" s="349">
        <f t="shared" ref="E207" si="18">C207+D207</f>
        <v>11466</v>
      </c>
      <c r="F207" s="350" t="s">
        <v>401</v>
      </c>
      <c r="G207" s="351">
        <f>SUM(G208:G210)</f>
        <v>16.209264000000001</v>
      </c>
      <c r="H207" s="351">
        <f>SUM(H208:H210)</f>
        <v>18.946705999999999</v>
      </c>
      <c r="I207" s="351">
        <f t="shared" ref="I207" si="19">G207+H207</f>
        <v>35.155969999999996</v>
      </c>
      <c r="J207" s="250"/>
      <c r="L207" t="s">
        <v>294</v>
      </c>
    </row>
    <row r="208" spans="1:13" x14ac:dyDescent="0.2">
      <c r="A208" s="354" t="s">
        <v>14</v>
      </c>
      <c r="B208" s="354" t="s">
        <v>21</v>
      </c>
      <c r="C208" s="355">
        <f>(HLOOKUP(CONCATENATE($B$197,-1),alles!$D$1:$AA$208,(MATCH(L208,alles!$C$1:$C$208,0)),0))</f>
        <v>3240</v>
      </c>
      <c r="D208" s="355">
        <f>(HLOOKUP(CONCATENATE($B$197,-2),alles!$D$1:$AA$208,(MATCH(L208,alles!$C$1:$C$208,0)),0))</f>
        <v>3527</v>
      </c>
      <c r="E208" s="355">
        <f t="shared" ref="E208:E209" si="20">C208+D208</f>
        <v>6767</v>
      </c>
      <c r="F208" s="359">
        <f>(HLOOKUP($B$197,'CO2 equivalenten'!$D$4:$P$218,(MATCH(M208,'CO2 equivalenten'!$C$4:$C$218,0)),0))</f>
        <v>3.2620000000000001E-3</v>
      </c>
      <c r="G208" s="358">
        <f t="shared" si="12"/>
        <v>10.56888</v>
      </c>
      <c r="H208" s="358">
        <f t="shared" si="13"/>
        <v>11.505074</v>
      </c>
      <c r="I208" s="358">
        <f t="shared" si="11"/>
        <v>22.073954000000001</v>
      </c>
      <c r="J208" s="250"/>
      <c r="L208" t="s">
        <v>266</v>
      </c>
      <c r="M208" t="s">
        <v>306</v>
      </c>
    </row>
    <row r="209" spans="1:13" x14ac:dyDescent="0.2">
      <c r="A209" s="366" t="s">
        <v>15</v>
      </c>
      <c r="B209" s="366" t="s">
        <v>21</v>
      </c>
      <c r="C209" s="367">
        <f>(HLOOKUP(CONCATENATE($B$197,-1),alles!$D$1:$AA$208,(MATCH(L209,alles!$C$1:$C$208,0)),0))</f>
        <v>2026</v>
      </c>
      <c r="D209" s="367">
        <f>(HLOOKUP(CONCATENATE($B$197,-2),alles!$D$1:$AA$208,(MATCH(L209,alles!$C$1:$C$208,0)),0))</f>
        <v>2673</v>
      </c>
      <c r="E209" s="367">
        <f t="shared" si="20"/>
        <v>4699</v>
      </c>
      <c r="F209" s="371">
        <f>(HLOOKUP($B$197,'CO2 equivalenten'!$D$4:$P$218,(MATCH(M209,'CO2 equivalenten'!$C$4:$C$218,0)),0))</f>
        <v>2.784E-3</v>
      </c>
      <c r="G209" s="370">
        <f t="shared" ref="G209" si="21">C209*F209</f>
        <v>5.6403840000000001</v>
      </c>
      <c r="H209" s="370">
        <f t="shared" ref="H209" si="22">D209*F209</f>
        <v>7.4416320000000002</v>
      </c>
      <c r="I209" s="370">
        <f t="shared" ref="I209" si="23">G209+H209</f>
        <v>13.082015999999999</v>
      </c>
      <c r="J209" s="250"/>
      <c r="L209" t="s">
        <v>267</v>
      </c>
      <c r="M209" t="s">
        <v>308</v>
      </c>
    </row>
    <row r="210" spans="1:13" x14ac:dyDescent="0.2">
      <c r="A210" s="366" t="s">
        <v>16</v>
      </c>
      <c r="B210" s="366" t="s">
        <v>21</v>
      </c>
      <c r="C210" s="367">
        <f>(HLOOKUP(CONCATENATE($B$197,-1),alles!$D$1:$AA$208,(MATCH(L210,alles!$C$1:$C$208,0)),0))</f>
        <v>0</v>
      </c>
      <c r="D210" s="367">
        <f>(HLOOKUP(CONCATENATE($B$197,-2),alles!$D$1:$AA$208,(MATCH(L210,alles!$C$1:$C$208,0)),0))</f>
        <v>0</v>
      </c>
      <c r="E210" s="367">
        <f t="shared" ref="E210" si="24">C210+D210</f>
        <v>0</v>
      </c>
      <c r="F210" s="371">
        <f>(HLOOKUP($B$197,'CO2 equivalenten'!$D$4:$P$218,(MATCH(M210,'CO2 equivalenten'!$C$4:$C$218,0)),0))</f>
        <v>1.7980000000000001E-3</v>
      </c>
      <c r="G210" s="370">
        <f t="shared" si="12"/>
        <v>0</v>
      </c>
      <c r="H210" s="370">
        <f t="shared" si="13"/>
        <v>0</v>
      </c>
      <c r="I210" s="370">
        <f t="shared" si="11"/>
        <v>0</v>
      </c>
      <c r="J210" s="250"/>
      <c r="L210" t="s">
        <v>268</v>
      </c>
      <c r="M210" t="s">
        <v>16</v>
      </c>
    </row>
    <row r="211" spans="1:13" x14ac:dyDescent="0.2">
      <c r="A211" s="348" t="s">
        <v>120</v>
      </c>
      <c r="B211" s="348" t="s">
        <v>21</v>
      </c>
      <c r="C211" s="349">
        <f>(HLOOKUP(CONCATENATE($B$197,-1),alles!$D$1:$AA$208,(MATCH(L211,alles!$C$1:$C$208,0)),0))</f>
        <v>9120</v>
      </c>
      <c r="D211" s="349">
        <f>(HLOOKUP(CONCATENATE($B$197,-2),alles!$D$1:$AA$208,(MATCH(L211,alles!$C$1:$C$208,0)),0))</f>
        <v>9474.2999999999993</v>
      </c>
      <c r="E211" s="349">
        <f t="shared" si="10"/>
        <v>18594.3</v>
      </c>
      <c r="F211" s="350">
        <f>(HLOOKUP($B$197,'CO2 equivalenten'!$D$4:$P$218,(MATCH(M211,'CO2 equivalenten'!$C$4:$C$218,0)),0))</f>
        <v>2.5999999999999998E-4</v>
      </c>
      <c r="G211" s="351">
        <f t="shared" ref="G211:G212" si="25">C211*F211</f>
        <v>2.3712</v>
      </c>
      <c r="H211" s="351">
        <f t="shared" ref="H211:H213" si="26">D211*F211</f>
        <v>2.4633179999999997</v>
      </c>
      <c r="I211" s="351">
        <f t="shared" ref="I211:I213" si="27">G211+H211</f>
        <v>4.8345179999999992</v>
      </c>
      <c r="J211" s="250"/>
      <c r="L211" t="s">
        <v>269</v>
      </c>
      <c r="M211" t="s">
        <v>269</v>
      </c>
    </row>
    <row r="212" spans="1:13" x14ac:dyDescent="0.2">
      <c r="A212" s="348" t="s">
        <v>38</v>
      </c>
      <c r="B212" s="348" t="s">
        <v>21</v>
      </c>
      <c r="C212" s="349">
        <f>(HLOOKUP(CONCATENATE($B$197,-1),alles!$D$1:$AA$208,(MATCH(L212,alles!$C$1:$C$208,0)),0))</f>
        <v>0</v>
      </c>
      <c r="D212" s="349">
        <f>(HLOOKUP(CONCATENATE($B$197,-2),alles!$D$1:$AA$208,(MATCH(L212,alles!$C$1:$C$208,0)),0))</f>
        <v>0</v>
      </c>
      <c r="E212" s="349">
        <f t="shared" si="10"/>
        <v>0</v>
      </c>
      <c r="F212" s="350">
        <f>(HLOOKUP($B$197,'CO2 equivalenten'!$D$4:$P$218,(MATCH(M212,'CO2 equivalenten'!$C$4:$C$218,0)),0))</f>
        <v>2.15E-3</v>
      </c>
      <c r="G212" s="351">
        <f t="shared" si="25"/>
        <v>0</v>
      </c>
      <c r="H212" s="351">
        <f t="shared" si="26"/>
        <v>0</v>
      </c>
      <c r="I212" s="351">
        <f t="shared" si="27"/>
        <v>0</v>
      </c>
      <c r="J212" s="250"/>
      <c r="L212" t="s">
        <v>270</v>
      </c>
      <c r="M212" t="s">
        <v>270</v>
      </c>
    </row>
    <row r="213" spans="1:13" x14ac:dyDescent="0.2">
      <c r="A213" s="348" t="s">
        <v>254</v>
      </c>
      <c r="B213" s="348" t="s">
        <v>288</v>
      </c>
      <c r="C213" s="349">
        <f>(HLOOKUP(CONCATENATE($B$197,-1),alles!$D$1:$AA$208,(MATCH(L213,alles!$C$1:$C$208,0)),0))</f>
        <v>0</v>
      </c>
      <c r="D213" s="349">
        <f>(HLOOKUP(CONCATENATE($B$197,-2),alles!$D$1:$AA$208,(MATCH(L213,alles!$C$1:$C$208,0)),0))</f>
        <v>0</v>
      </c>
      <c r="E213" s="349">
        <f t="shared" si="10"/>
        <v>0</v>
      </c>
      <c r="F213" s="349">
        <v>0</v>
      </c>
      <c r="G213" s="351">
        <f>C213*F213</f>
        <v>0</v>
      </c>
      <c r="H213" s="351">
        <f t="shared" si="26"/>
        <v>0</v>
      </c>
      <c r="I213" s="351">
        <f t="shared" si="27"/>
        <v>0</v>
      </c>
      <c r="J213" s="250"/>
      <c r="L213" t="s">
        <v>295</v>
      </c>
    </row>
    <row r="214" spans="1:13" x14ac:dyDescent="0.2">
      <c r="A214" s="348" t="s">
        <v>283</v>
      </c>
      <c r="B214" s="348" t="s">
        <v>21</v>
      </c>
      <c r="C214" s="349">
        <f>(HLOOKUP(CONCATENATE($B$197,-1),alles!$D$1:$AA$208,(MATCH(L214,alles!$C$1:$C$208,0)),0))</f>
        <v>0</v>
      </c>
      <c r="D214" s="349">
        <f>(HLOOKUP(CONCATENATE($B$197,-2),alles!$D$1:$AA$208,(MATCH(L214,alles!$C$1:$C$208,0)),0))</f>
        <v>0</v>
      </c>
      <c r="E214" s="349">
        <f t="shared" si="10"/>
        <v>0</v>
      </c>
      <c r="F214" s="350">
        <f>(HLOOKUP($B$197,'CO2 equivalenten'!$D$4:$P$218,(MATCH(M214,'CO2 equivalenten'!$C$4:$C$218,0)),0))</f>
        <v>1.725E-3</v>
      </c>
      <c r="G214" s="351">
        <f t="shared" ref="G214:G215" si="28">C214*F214</f>
        <v>0</v>
      </c>
      <c r="H214" s="351">
        <f t="shared" ref="H214:H215" si="29">D214*F214</f>
        <v>0</v>
      </c>
      <c r="I214" s="351">
        <f t="shared" ref="I214:I215" si="30">G214+H214</f>
        <v>0</v>
      </c>
      <c r="J214" s="250"/>
      <c r="L214" t="s">
        <v>301</v>
      </c>
      <c r="M214" t="s">
        <v>296</v>
      </c>
    </row>
    <row r="215" spans="1:13" x14ac:dyDescent="0.2">
      <c r="A215" s="348" t="s">
        <v>12</v>
      </c>
      <c r="B215" s="348" t="s">
        <v>23</v>
      </c>
      <c r="C215" s="349">
        <f>(HLOOKUP(CONCATENATE($B$197,-1),alles!$D$1:$AA$208,(MATCH(L215,alles!$C$1:$C$208,0)),0))</f>
        <v>0</v>
      </c>
      <c r="D215" s="349">
        <f>(HLOOKUP(CONCATENATE($B$197,-2),alles!$D$1:$AA$208,(MATCH(L215,alles!$C$1:$C$208,0)),0))</f>
        <v>0</v>
      </c>
      <c r="E215" s="349">
        <f t="shared" si="10"/>
        <v>0</v>
      </c>
      <c r="F215" s="350">
        <f>(HLOOKUP($B$197,'CO2 equivalenten'!$D$4:$P$218,(MATCH(M215,'CO2 equivalenten'!$C$4:$C$218,0)),0))</f>
        <v>7.4999999999999993E-5</v>
      </c>
      <c r="G215" s="351">
        <f t="shared" si="28"/>
        <v>0</v>
      </c>
      <c r="H215" s="351">
        <f t="shared" si="29"/>
        <v>0</v>
      </c>
      <c r="I215" s="351">
        <f t="shared" si="30"/>
        <v>0</v>
      </c>
      <c r="J215" s="250"/>
      <c r="L215" t="s">
        <v>302</v>
      </c>
      <c r="M215" t="s">
        <v>297</v>
      </c>
    </row>
    <row r="216" spans="1:13" x14ac:dyDescent="0.2">
      <c r="A216" s="352" t="s">
        <v>31</v>
      </c>
      <c r="B216" s="352" t="s">
        <v>289</v>
      </c>
      <c r="C216" s="353" t="s">
        <v>289</v>
      </c>
      <c r="D216" s="353" t="s">
        <v>289</v>
      </c>
      <c r="E216" s="353" t="s">
        <v>289</v>
      </c>
      <c r="F216" s="353" t="s">
        <v>289</v>
      </c>
      <c r="G216" s="351">
        <f>G201+G202+G207+G211+G212+G213+G214+G215</f>
        <v>950.59213920000013</v>
      </c>
      <c r="H216" s="351">
        <f>H201+H202+H207+H211+H212+H213+H214+H215</f>
        <v>866.68515940000009</v>
      </c>
      <c r="I216" s="351">
        <f>G216+H216</f>
        <v>1817.2772986000002</v>
      </c>
      <c r="J216" s="250"/>
    </row>
    <row r="217" spans="1:13" x14ac:dyDescent="0.2">
      <c r="A217" s="234"/>
      <c r="B217" s="234"/>
      <c r="C217" s="252"/>
      <c r="D217" s="252"/>
      <c r="E217" s="252"/>
      <c r="F217" s="252"/>
      <c r="G217" s="252"/>
      <c r="H217" s="252"/>
      <c r="I217" s="252"/>
      <c r="J217" s="250"/>
    </row>
    <row r="218" spans="1:13" x14ac:dyDescent="0.2">
      <c r="A218" s="372" t="s">
        <v>284</v>
      </c>
      <c r="B218" s="373"/>
      <c r="C218" s="376"/>
      <c r="D218" s="376"/>
      <c r="E218" s="376"/>
      <c r="F218" s="376"/>
      <c r="G218" s="376"/>
      <c r="H218" s="376"/>
      <c r="I218" s="377"/>
      <c r="J218" s="250"/>
    </row>
    <row r="219" spans="1:13" x14ac:dyDescent="0.2">
      <c r="A219" s="348" t="s">
        <v>34</v>
      </c>
      <c r="B219" s="348" t="s">
        <v>23</v>
      </c>
      <c r="C219" s="433">
        <f>SUM(C220:C222)</f>
        <v>45352.96961349</v>
      </c>
      <c r="D219" s="433">
        <f>SUM(D220:D222)</f>
        <v>41536</v>
      </c>
      <c r="E219" s="349">
        <f>C219+D219</f>
        <v>86888.96961349</v>
      </c>
      <c r="F219" s="449" t="s">
        <v>609</v>
      </c>
      <c r="G219" s="351">
        <f>IF(C219&lt;0,0,SUM(G220:G222))</f>
        <v>21.013556582612441</v>
      </c>
      <c r="H219" s="351">
        <f>IF(D219&lt;0,0,SUM(H220:H222))</f>
        <v>0</v>
      </c>
      <c r="I219" s="448">
        <f>G219+H219</f>
        <v>21.013556582612441</v>
      </c>
      <c r="J219" s="250"/>
      <c r="L219" t="s">
        <v>298</v>
      </c>
      <c r="M219" t="s">
        <v>322</v>
      </c>
    </row>
    <row r="220" spans="1:13" x14ac:dyDescent="0.2">
      <c r="A220" s="420" t="s">
        <v>610</v>
      </c>
      <c r="B220" s="354" t="s">
        <v>23</v>
      </c>
      <c r="C220" s="355">
        <f>(HLOOKUP(CONCATENATE($B$197,-1),alles!$D$1:$AA$208,(MATCH(L220,alles!$C$1:$C$208,0)),0))</f>
        <v>37794.166515489997</v>
      </c>
      <c r="D220" s="355">
        <f>(HLOOKUP(CONCATENATE($B$197,-2),alles!$D$1:$AA$208,(MATCH(L220,alles!$C$1:$C$208,0)),0))</f>
        <v>0</v>
      </c>
      <c r="E220" s="355">
        <f t="shared" ref="E220:E222" si="31">C220+D220</f>
        <v>37794.166515489997</v>
      </c>
      <c r="F220" s="359">
        <f>(HLOOKUP($B$197,'CO2 equivalenten'!$D$4:$P$218,(MATCH(M220,'CO2 equivalenten'!$C$4:$C$218,0)),0))</f>
        <v>5.5600000000000007E-4</v>
      </c>
      <c r="G220" s="358">
        <f t="shared" ref="G220:G222" si="32">C220*F220</f>
        <v>21.013556582612441</v>
      </c>
      <c r="H220" s="358">
        <f t="shared" ref="H220:H222" si="33">D220*F220</f>
        <v>0</v>
      </c>
      <c r="I220" s="358">
        <f t="shared" ref="I220:I222" si="34">G220+H220</f>
        <v>21.013556582612441</v>
      </c>
      <c r="J220" s="250"/>
      <c r="L220" t="s">
        <v>322</v>
      </c>
      <c r="M220" t="s">
        <v>322</v>
      </c>
    </row>
    <row r="221" spans="1:13" x14ac:dyDescent="0.2">
      <c r="A221" s="360" t="s">
        <v>607</v>
      </c>
      <c r="B221" s="360" t="s">
        <v>23</v>
      </c>
      <c r="C221" s="361">
        <f>(HLOOKUP(CONCATENATE($B$197,-1),alles!$D$1:$AA$208,(MATCH(L221,alles!$C$1:$C$208,0)),0))</f>
        <v>7558.8030980000003</v>
      </c>
      <c r="D221" s="361">
        <f>(HLOOKUP(CONCATENATE($B$197,-2),alles!$D$1:$AA$208,(MATCH(L221,alles!$C$1:$C$208,0)),0))</f>
        <v>41536</v>
      </c>
      <c r="E221" s="361">
        <f t="shared" ref="E221" si="35">C221+D221</f>
        <v>49094.803098000004</v>
      </c>
      <c r="F221" s="365">
        <f>(HLOOKUP($B$197,'CO2 equivalenten'!$D$4:$P$218,(MATCH(M221,'CO2 equivalenten'!$C$4:$C$218,0)),0))</f>
        <v>0</v>
      </c>
      <c r="G221" s="364">
        <f t="shared" ref="G221" si="36">C221*F221</f>
        <v>0</v>
      </c>
      <c r="H221" s="364">
        <f t="shared" ref="H221" si="37">D221*F221</f>
        <v>0</v>
      </c>
      <c r="I221" s="364">
        <f t="shared" ref="I221" si="38">G221+H221</f>
        <v>0</v>
      </c>
      <c r="J221" s="250"/>
      <c r="L221" t="s">
        <v>324</v>
      </c>
      <c r="M221" t="s">
        <v>324</v>
      </c>
    </row>
    <row r="222" spans="1:13" x14ac:dyDescent="0.2">
      <c r="A222" s="360" t="s">
        <v>562</v>
      </c>
      <c r="B222" s="360" t="s">
        <v>23</v>
      </c>
      <c r="C222" s="361">
        <f>(HLOOKUP(CONCATENATE($B$197,-1),alles!$D$1:$AA$208,(MATCH(L222,alles!$C$1:$C$208,0)),0))</f>
        <v>0</v>
      </c>
      <c r="D222" s="361">
        <f>(HLOOKUP(CONCATENATE($B$197,-2),alles!$D$1:$AA$208,(MATCH(L222,alles!$C$1:$C$208,0)),0))</f>
        <v>0</v>
      </c>
      <c r="E222" s="361">
        <f t="shared" si="31"/>
        <v>0</v>
      </c>
      <c r="F222" s="365">
        <f>(HLOOKUP($B$197,'CO2 equivalenten'!$D$4:$P$218,(MATCH(M222,'CO2 equivalenten'!$C$4:$C$218,0)),0))</f>
        <v>5.5600000000000007E-4</v>
      </c>
      <c r="G222" s="364">
        <f t="shared" si="32"/>
        <v>0</v>
      </c>
      <c r="H222" s="364">
        <f t="shared" si="33"/>
        <v>0</v>
      </c>
      <c r="I222" s="364">
        <f t="shared" si="34"/>
        <v>0</v>
      </c>
      <c r="J222" s="250"/>
      <c r="L222" t="s">
        <v>418</v>
      </c>
      <c r="M222" t="s">
        <v>419</v>
      </c>
    </row>
    <row r="223" spans="1:13" x14ac:dyDescent="0.2">
      <c r="A223" s="352" t="s">
        <v>31</v>
      </c>
      <c r="B223" s="352" t="s">
        <v>23</v>
      </c>
      <c r="C223" s="378">
        <f t="shared" ref="C223:I223" si="39">C219</f>
        <v>45352.96961349</v>
      </c>
      <c r="D223" s="378">
        <f t="shared" si="39"/>
        <v>41536</v>
      </c>
      <c r="E223" s="378">
        <f t="shared" si="39"/>
        <v>86888.96961349</v>
      </c>
      <c r="F223" s="379" t="str">
        <f t="shared" si="39"/>
        <v>*2</v>
      </c>
      <c r="G223" s="450">
        <f t="shared" si="39"/>
        <v>21.013556582612441</v>
      </c>
      <c r="H223" s="450">
        <f t="shared" si="39"/>
        <v>0</v>
      </c>
      <c r="I223" s="450">
        <f t="shared" si="39"/>
        <v>21.013556582612441</v>
      </c>
      <c r="J223" s="250"/>
    </row>
    <row r="224" spans="1:13" x14ac:dyDescent="0.2">
      <c r="A224" s="234"/>
      <c r="B224" s="234"/>
      <c r="C224" s="252"/>
      <c r="D224" s="252"/>
      <c r="E224" s="252"/>
      <c r="F224" s="252"/>
      <c r="G224" s="252"/>
      <c r="H224" s="252"/>
      <c r="I224" s="252"/>
      <c r="J224" s="250"/>
    </row>
    <row r="225" spans="1:13" x14ac:dyDescent="0.2">
      <c r="A225" s="372" t="s">
        <v>286</v>
      </c>
      <c r="B225" s="373"/>
      <c r="C225" s="376"/>
      <c r="D225" s="376"/>
      <c r="E225" s="376"/>
      <c r="F225" s="376"/>
      <c r="G225" s="376"/>
      <c r="H225" s="376"/>
      <c r="I225" s="377"/>
      <c r="J225" s="250"/>
    </row>
    <row r="226" spans="1:13" x14ac:dyDescent="0.2">
      <c r="A226" s="372" t="s">
        <v>440</v>
      </c>
      <c r="B226" s="373"/>
      <c r="C226" s="381"/>
      <c r="D226" s="381"/>
      <c r="E226" s="381"/>
      <c r="F226" s="381"/>
      <c r="G226" s="381"/>
      <c r="H226" s="381"/>
      <c r="I226" s="382"/>
      <c r="J226" s="250"/>
    </row>
    <row r="227" spans="1:13" ht="51" hidden="1" x14ac:dyDescent="0.2">
      <c r="A227" s="673" t="s">
        <v>442</v>
      </c>
      <c r="B227" s="373"/>
      <c r="C227" s="349">
        <f>(HLOOKUP(CONCATENATE($B$267,-1),alles!$D$1:$AA$208,(MATCH(L227,alles!$C$1:$C$208,0)),0))</f>
        <v>0</v>
      </c>
      <c r="D227" s="349">
        <f>(HLOOKUP(CONCATENATE($B$267,-2),alles!$D$1:$AA$208,(MATCH(L227,alles!$C$1:$C$208,0)),0))</f>
        <v>0</v>
      </c>
      <c r="E227" s="349">
        <f t="shared" ref="E227:E253" si="40">C227+D227</f>
        <v>0</v>
      </c>
      <c r="F227" s="375" t="s">
        <v>289</v>
      </c>
      <c r="G227" s="383">
        <v>0</v>
      </c>
      <c r="H227" s="383">
        <v>0</v>
      </c>
      <c r="I227" s="383">
        <f t="shared" ref="I227:I253" si="41">G227+H227</f>
        <v>0</v>
      </c>
      <c r="J227" s="250"/>
      <c r="L227" t="s">
        <v>468</v>
      </c>
    </row>
    <row r="228" spans="1:13" ht="17" hidden="1" x14ac:dyDescent="0.2">
      <c r="A228" s="673" t="s">
        <v>443</v>
      </c>
      <c r="B228" s="373"/>
      <c r="C228" s="349">
        <f>(HLOOKUP(CONCATENATE($B$267,-1),alles!$D$1:$AA$208,(MATCH(L228,alles!$C$1:$C$208,0)),0))</f>
        <v>0</v>
      </c>
      <c r="D228" s="349">
        <f>(HLOOKUP(CONCATENATE($B$267,-2),alles!$D$1:$AA$208,(MATCH(L228,alles!$C$1:$C$208,0)),0))</f>
        <v>0</v>
      </c>
      <c r="E228" s="349">
        <f t="shared" si="40"/>
        <v>0</v>
      </c>
      <c r="F228" s="375" t="s">
        <v>289</v>
      </c>
      <c r="G228" s="383">
        <v>0</v>
      </c>
      <c r="H228" s="383">
        <v>0</v>
      </c>
      <c r="I228" s="383">
        <f t="shared" si="41"/>
        <v>0</v>
      </c>
      <c r="J228" s="250"/>
      <c r="L228" t="s">
        <v>477</v>
      </c>
    </row>
    <row r="229" spans="1:13" ht="51" hidden="1" x14ac:dyDescent="0.2">
      <c r="A229" s="673" t="s">
        <v>444</v>
      </c>
      <c r="B229" s="373"/>
      <c r="C229" s="349">
        <f>(HLOOKUP(CONCATENATE($B$267,-1),alles!$D$1:$AA$208,(MATCH(L229,alles!$C$1:$C$208,0)),0))</f>
        <v>0</v>
      </c>
      <c r="D229" s="349">
        <f>(HLOOKUP(CONCATENATE($B$267,-2),alles!$D$1:$AA$208,(MATCH(L229,alles!$C$1:$C$208,0)),0))</f>
        <v>0</v>
      </c>
      <c r="E229" s="349">
        <f t="shared" si="40"/>
        <v>0</v>
      </c>
      <c r="F229" s="375" t="s">
        <v>289</v>
      </c>
      <c r="G229" s="383">
        <v>0</v>
      </c>
      <c r="H229" s="383">
        <v>0</v>
      </c>
      <c r="I229" s="383">
        <f t="shared" si="41"/>
        <v>0</v>
      </c>
      <c r="J229" s="250"/>
      <c r="L229" t="s">
        <v>478</v>
      </c>
    </row>
    <row r="230" spans="1:13" ht="34" hidden="1" x14ac:dyDescent="0.2">
      <c r="A230" s="673" t="s">
        <v>446</v>
      </c>
      <c r="B230" s="373"/>
      <c r="C230" s="349">
        <f>(HLOOKUP(CONCATENATE($B$267,-1),alles!$D$1:$AA$208,(MATCH(L230,alles!$C$1:$C$208,0)),0))</f>
        <v>0</v>
      </c>
      <c r="D230" s="349">
        <f>(HLOOKUP(CONCATENATE($B$267,-2),alles!$D$1:$AA$208,(MATCH(L230,alles!$C$1:$C$208,0)),0))</f>
        <v>0</v>
      </c>
      <c r="E230" s="349">
        <f t="shared" si="40"/>
        <v>0</v>
      </c>
      <c r="F230" s="375" t="s">
        <v>289</v>
      </c>
      <c r="G230" s="383">
        <v>0</v>
      </c>
      <c r="H230" s="383">
        <v>0</v>
      </c>
      <c r="I230" s="383">
        <f t="shared" si="41"/>
        <v>0</v>
      </c>
      <c r="J230" s="250"/>
      <c r="L230" t="s">
        <v>483</v>
      </c>
    </row>
    <row r="231" spans="1:13" ht="17" x14ac:dyDescent="0.2">
      <c r="A231" s="672" t="s">
        <v>445</v>
      </c>
      <c r="B231" s="373"/>
      <c r="C231" s="349">
        <f>(HLOOKUP(CONCATENATE($B$197,-1),alles!$D$1:$AA$208,(MATCH(L231,alles!$C$1:$C$208,0)),0))</f>
        <v>32951</v>
      </c>
      <c r="D231" s="349">
        <f>(HLOOKUP(CONCATENATE($B$197,-2),alles!$D$1:$AA$208,(MATCH(L231,alles!$C$1:$C$208,0)),0))</f>
        <v>30710.69</v>
      </c>
      <c r="E231" s="349">
        <f t="shared" si="40"/>
        <v>63661.69</v>
      </c>
      <c r="F231" s="375" t="s">
        <v>611</v>
      </c>
      <c r="G231" s="351">
        <f>SUM(G232:G246)</f>
        <v>1189.9558999999999</v>
      </c>
      <c r="H231" s="351">
        <f>SUM(H232:H246)</f>
        <v>2601.3282380000001</v>
      </c>
      <c r="I231" s="351">
        <f t="shared" si="41"/>
        <v>3791.284138</v>
      </c>
      <c r="J231" s="250"/>
      <c r="L231" t="s">
        <v>595</v>
      </c>
    </row>
    <row r="232" spans="1:13" x14ac:dyDescent="0.2">
      <c r="A232" s="354" t="s">
        <v>598</v>
      </c>
      <c r="B232" s="354" t="s">
        <v>68</v>
      </c>
      <c r="C232" s="367">
        <f>(HLOOKUP(CONCATENATE($B$197,-1),alles!$D$1:$AA$208,(MATCH(L232,alles!$C$1:$C$208,0)),0))</f>
        <v>377</v>
      </c>
      <c r="D232" s="367">
        <f>(HLOOKUP(CONCATENATE($B$197,-2),alles!$D$1:$AA$208,(MATCH(L232,alles!$C$1:$C$208,0)),0))</f>
        <v>483.56</v>
      </c>
      <c r="E232" s="367">
        <f t="shared" si="40"/>
        <v>860.56</v>
      </c>
      <c r="F232" s="371">
        <f>(HLOOKUP($B$197,'CO2 equivalenten'!$D$4:$P$218,(MATCH(M232,'CO2 equivalenten'!$C$4:$C$218,0)),0))</f>
        <v>0.14499999999999999</v>
      </c>
      <c r="G232" s="370">
        <f>C232*F232</f>
        <v>54.664999999999999</v>
      </c>
      <c r="H232" s="370">
        <f t="shared" ref="H232:H246" si="42">D232*F232</f>
        <v>70.116199999999992</v>
      </c>
      <c r="I232" s="370">
        <f t="shared" si="41"/>
        <v>124.78119999999998</v>
      </c>
      <c r="J232" s="250"/>
      <c r="L232" t="s">
        <v>357</v>
      </c>
      <c r="M232" t="s">
        <v>357</v>
      </c>
    </row>
    <row r="233" spans="1:13" x14ac:dyDescent="0.2">
      <c r="A233" s="366" t="s">
        <v>72</v>
      </c>
      <c r="B233" s="366" t="s">
        <v>67</v>
      </c>
      <c r="C233" s="367">
        <f>(HLOOKUP(CONCATENATE($B$197,-1),alles!$D$1:$AA$208,(MATCH(L233,alles!$C$1:$C$208,0)),0))</f>
        <v>2293</v>
      </c>
      <c r="D233" s="367">
        <f>(HLOOKUP(CONCATENATE($B$197,-2),alles!$D$1:$AA$208,(MATCH(L233,alles!$C$1:$C$208,0)),0))</f>
        <v>2947.78</v>
      </c>
      <c r="E233" s="367">
        <f t="shared" si="40"/>
        <v>5240.7800000000007</v>
      </c>
      <c r="F233" s="371">
        <f>(HLOOKUP($B$197,'CO2 equivalenten'!$D$4:$P$218,(MATCH(M233,'CO2 equivalenten'!$C$4:$C$218,0)),0))</f>
        <v>2.9000000000000001E-2</v>
      </c>
      <c r="G233" s="370">
        <f t="shared" ref="G233:G246" si="43">C233*F233</f>
        <v>66.497</v>
      </c>
      <c r="H233" s="370">
        <f t="shared" si="42"/>
        <v>85.485620000000011</v>
      </c>
      <c r="I233" s="370">
        <f t="shared" si="41"/>
        <v>151.98262</v>
      </c>
      <c r="J233" s="250"/>
      <c r="L233" t="s">
        <v>363</v>
      </c>
      <c r="M233" t="s">
        <v>363</v>
      </c>
    </row>
    <row r="234" spans="1:13" x14ac:dyDescent="0.2">
      <c r="A234" s="366" t="s">
        <v>75</v>
      </c>
      <c r="B234" s="366" t="s">
        <v>67</v>
      </c>
      <c r="C234" s="367">
        <f>(HLOOKUP(CONCATENATE($B$197,-1),alles!$D$1:$AA$208,(MATCH(L234,alles!$C$1:$C$208,0)),0))</f>
        <v>2134</v>
      </c>
      <c r="D234" s="367">
        <f>(HLOOKUP(CONCATENATE($B$197,-2),alles!$D$1:$AA$208,(MATCH(L234,alles!$C$1:$C$208,0)),0))</f>
        <v>2335.42</v>
      </c>
      <c r="E234" s="367">
        <f t="shared" si="40"/>
        <v>4469.42</v>
      </c>
      <c r="F234" s="371">
        <f>(HLOOKUP($B$197,'CO2 equivalenten'!$D$4:$P$218,(MATCH(M234,'CO2 equivalenten'!$C$4:$C$218,0)),0))</f>
        <v>7.4999999999999997E-2</v>
      </c>
      <c r="G234" s="370">
        <f t="shared" si="43"/>
        <v>160.04999999999998</v>
      </c>
      <c r="H234" s="370">
        <f t="shared" si="42"/>
        <v>175.15649999999999</v>
      </c>
      <c r="I234" s="370">
        <f t="shared" si="41"/>
        <v>335.20650000000001</v>
      </c>
      <c r="J234" s="250"/>
      <c r="L234" t="s">
        <v>364</v>
      </c>
      <c r="M234" t="s">
        <v>364</v>
      </c>
    </row>
    <row r="235" spans="1:13" x14ac:dyDescent="0.2">
      <c r="A235" s="366" t="s">
        <v>76</v>
      </c>
      <c r="B235" s="366" t="s">
        <v>73</v>
      </c>
      <c r="C235" s="367">
        <f>(HLOOKUP(CONCATENATE($B$197,-1),alles!$D$1:$AA$208,(MATCH(L235,alles!$C$1:$C$208,0)),0))</f>
        <v>7121</v>
      </c>
      <c r="D235" s="367">
        <f>(HLOOKUP(CONCATENATE($B$197,-2),alles!$D$1:$AA$208,(MATCH(L235,alles!$C$1:$C$208,0)),0))</f>
        <v>7471.24</v>
      </c>
      <c r="E235" s="367">
        <f t="shared" si="40"/>
        <v>14592.24</v>
      </c>
      <c r="F235" s="371">
        <f>(HLOOKUP($B$197,'CO2 equivalenten'!$D$4:$P$218,(MATCH(M235,'CO2 equivalenten'!$C$4:$C$218,0)),0))</f>
        <v>0</v>
      </c>
      <c r="G235" s="370">
        <f t="shared" si="43"/>
        <v>0</v>
      </c>
      <c r="H235" s="370">
        <f t="shared" si="42"/>
        <v>0</v>
      </c>
      <c r="I235" s="370">
        <f t="shared" si="41"/>
        <v>0</v>
      </c>
      <c r="J235" s="250"/>
      <c r="L235" t="s">
        <v>275</v>
      </c>
      <c r="M235" t="s">
        <v>275</v>
      </c>
    </row>
    <row r="236" spans="1:13" x14ac:dyDescent="0.2">
      <c r="A236" s="366" t="s">
        <v>599</v>
      </c>
      <c r="B236" s="366" t="s">
        <v>67</v>
      </c>
      <c r="C236" s="367">
        <f>(HLOOKUP(CONCATENATE($B$197,-1),alles!$D$1:$AA$208,(MATCH(L236,alles!$C$1:$C$208,0)),0))</f>
        <v>99</v>
      </c>
      <c r="D236" s="367">
        <f>(HLOOKUP(CONCATENATE($B$197,-2),alles!$D$1:$AA$208,(MATCH(L236,alles!$C$1:$C$208,0)),0))</f>
        <v>80.72</v>
      </c>
      <c r="E236" s="367">
        <f t="shared" si="40"/>
        <v>179.72</v>
      </c>
      <c r="F236" s="371">
        <f>(HLOOKUP($B$197,'CO2 equivalenten'!$D$4:$P$218,(MATCH(M236,'CO2 equivalenten'!$C$4:$C$218,0)),0))</f>
        <v>7.4999999999999997E-2</v>
      </c>
      <c r="G236" s="370">
        <f t="shared" si="43"/>
        <v>7.4249999999999998</v>
      </c>
      <c r="H236" s="370">
        <f t="shared" si="42"/>
        <v>6.0539999999999994</v>
      </c>
      <c r="I236" s="370">
        <f t="shared" si="41"/>
        <v>13.478999999999999</v>
      </c>
      <c r="J236" s="250"/>
      <c r="L236" t="s">
        <v>365</v>
      </c>
      <c r="M236" t="s">
        <v>365</v>
      </c>
    </row>
    <row r="237" spans="1:13" x14ac:dyDescent="0.2">
      <c r="A237" s="366" t="s">
        <v>80</v>
      </c>
      <c r="B237" s="366" t="s">
        <v>68</v>
      </c>
      <c r="C237" s="367">
        <f>(HLOOKUP(CONCATENATE($B$197,-1),alles!$D$1:$AA$208,(MATCH(L237,alles!$C$1:$C$208,0)),0))</f>
        <v>59</v>
      </c>
      <c r="D237" s="367">
        <f>(HLOOKUP(CONCATENATE($B$197,-2),alles!$D$1:$AA$208,(MATCH(L237,alles!$C$1:$C$208,0)),0))</f>
        <v>83.66</v>
      </c>
      <c r="E237" s="367">
        <f t="shared" si="40"/>
        <v>142.66</v>
      </c>
      <c r="F237" s="371">
        <f>(HLOOKUP($B$197,'CO2 equivalenten'!$D$4:$P$218,(MATCH(M237,'CO2 equivalenten'!$C$4:$C$218,0)),0))</f>
        <v>2.573</v>
      </c>
      <c r="G237" s="370">
        <f t="shared" si="43"/>
        <v>151.80699999999999</v>
      </c>
      <c r="H237" s="370">
        <f t="shared" si="42"/>
        <v>215.25717999999998</v>
      </c>
      <c r="I237" s="370">
        <f t="shared" si="41"/>
        <v>367.06417999999996</v>
      </c>
      <c r="J237" s="250"/>
      <c r="L237" t="s">
        <v>277</v>
      </c>
      <c r="M237" t="s">
        <v>277</v>
      </c>
    </row>
    <row r="238" spans="1:13" x14ac:dyDescent="0.2">
      <c r="A238" s="366" t="s">
        <v>83</v>
      </c>
      <c r="B238" s="366" t="s">
        <v>68</v>
      </c>
      <c r="C238" s="367">
        <f>(HLOOKUP(CONCATENATE($B$197,-1),alles!$D$1:$AA$208,(MATCH(L238,alles!$C$1:$C$208,0)),0))</f>
        <v>25</v>
      </c>
      <c r="D238" s="367">
        <f>(HLOOKUP(CONCATENATE($B$197,-2),alles!$D$1:$AA$208,(MATCH(L238,alles!$C$1:$C$208,0)),0))</f>
        <v>87.32</v>
      </c>
      <c r="E238" s="367">
        <f t="shared" si="40"/>
        <v>112.32</v>
      </c>
      <c r="F238" s="371">
        <f>(HLOOKUP($B$197,'CO2 equivalenten'!$D$4:$P$218,(MATCH(M238,'CO2 equivalenten'!$C$4:$C$218,0)),0))</f>
        <v>0.2</v>
      </c>
      <c r="G238" s="370">
        <f t="shared" si="43"/>
        <v>5</v>
      </c>
      <c r="H238" s="370">
        <f t="shared" si="42"/>
        <v>17.463999999999999</v>
      </c>
      <c r="I238" s="370">
        <f t="shared" si="41"/>
        <v>22.463999999999999</v>
      </c>
      <c r="J238" s="250"/>
      <c r="L238" t="s">
        <v>278</v>
      </c>
      <c r="M238" t="s">
        <v>278</v>
      </c>
    </row>
    <row r="239" spans="1:13" x14ac:dyDescent="0.2">
      <c r="A239" s="366" t="s">
        <v>84</v>
      </c>
      <c r="B239" s="366" t="s">
        <v>68</v>
      </c>
      <c r="C239" s="367">
        <f>(HLOOKUP(CONCATENATE($B$197,-1),alles!$D$1:$AA$208,(MATCH(L239,alles!$C$1:$C$208,0)),0))</f>
        <v>105</v>
      </c>
      <c r="D239" s="367">
        <f>(HLOOKUP(CONCATENATE($B$197,-2),alles!$D$1:$AA$208,(MATCH(L239,alles!$C$1:$C$208,0)),0))</f>
        <v>290.8</v>
      </c>
      <c r="E239" s="367">
        <f t="shared" si="40"/>
        <v>395.8</v>
      </c>
      <c r="F239" s="371">
        <f>(HLOOKUP($B$197,'CO2 equivalenten'!$D$4:$P$218,(MATCH(M239,'CO2 equivalenten'!$C$4:$C$218,0)),0))</f>
        <v>0.32400000000000001</v>
      </c>
      <c r="G239" s="370">
        <f t="shared" si="43"/>
        <v>34.020000000000003</v>
      </c>
      <c r="H239" s="370">
        <f t="shared" si="42"/>
        <v>94.219200000000001</v>
      </c>
      <c r="I239" s="370">
        <f t="shared" si="41"/>
        <v>128.23920000000001</v>
      </c>
      <c r="J239" s="250"/>
      <c r="L239" t="s">
        <v>279</v>
      </c>
      <c r="M239" t="s">
        <v>279</v>
      </c>
    </row>
    <row r="240" spans="1:13" x14ac:dyDescent="0.2">
      <c r="A240" s="366" t="s">
        <v>85</v>
      </c>
      <c r="B240" s="366" t="s">
        <v>86</v>
      </c>
      <c r="C240" s="367">
        <f>(HLOOKUP(CONCATENATE($B$197,-1),alles!$D$1:$AA$208,(MATCH(L240,alles!$C$1:$C$208,0)),0))</f>
        <v>1532</v>
      </c>
      <c r="D240" s="367">
        <f>(HLOOKUP(CONCATENATE($B$197,-2),alles!$D$1:$AA$208,(MATCH(L240,alles!$C$1:$C$208,0)),0))</f>
        <v>1446.72</v>
      </c>
      <c r="E240" s="367">
        <f t="shared" si="40"/>
        <v>2978.7200000000003</v>
      </c>
      <c r="F240" s="371">
        <f>(HLOOKUP($B$197,'CO2 equivalenten'!$D$4:$P$218,(MATCH(M240,'CO2 equivalenten'!$C$4:$C$218,0)),0))</f>
        <v>0</v>
      </c>
      <c r="G240" s="370">
        <f t="shared" si="43"/>
        <v>0</v>
      </c>
      <c r="H240" s="370">
        <f t="shared" si="42"/>
        <v>0</v>
      </c>
      <c r="I240" s="370">
        <f t="shared" si="41"/>
        <v>0</v>
      </c>
      <c r="J240" s="250"/>
      <c r="L240" t="s">
        <v>367</v>
      </c>
      <c r="M240" t="s">
        <v>367</v>
      </c>
    </row>
    <row r="241" spans="1:13" x14ac:dyDescent="0.2">
      <c r="A241" s="366" t="s">
        <v>89</v>
      </c>
      <c r="B241" s="366" t="s">
        <v>68</v>
      </c>
      <c r="C241" s="367">
        <f>(HLOOKUP(CONCATENATE($B$197,-1),alles!$D$1:$AA$208,(MATCH(L241,alles!$C$1:$C$208,0)),0))</f>
        <v>116</v>
      </c>
      <c r="D241" s="367">
        <f>(HLOOKUP(CONCATENATE($B$197,-2),alles!$D$1:$AA$208,(MATCH(L241,alles!$C$1:$C$208,0)),0))</f>
        <v>115.12</v>
      </c>
      <c r="E241" s="367">
        <f t="shared" si="40"/>
        <v>231.12</v>
      </c>
      <c r="F241" s="371">
        <f>(HLOOKUP($B$197,'CO2 equivalenten'!$D$4:$P$218,(MATCH(M241,'CO2 equivalenten'!$C$4:$C$218,0)),0))</f>
        <v>1.593</v>
      </c>
      <c r="G241" s="370">
        <f t="shared" si="43"/>
        <v>184.78800000000001</v>
      </c>
      <c r="H241" s="370">
        <f t="shared" si="42"/>
        <v>183.38616000000002</v>
      </c>
      <c r="I241" s="370">
        <f t="shared" si="41"/>
        <v>368.17416000000003</v>
      </c>
      <c r="J241" s="250"/>
      <c r="L241" t="s">
        <v>369</v>
      </c>
      <c r="M241" t="s">
        <v>369</v>
      </c>
    </row>
    <row r="242" spans="1:13" x14ac:dyDescent="0.2">
      <c r="A242" s="366" t="s">
        <v>90</v>
      </c>
      <c r="B242" s="366" t="s">
        <v>68</v>
      </c>
      <c r="C242" s="367">
        <f>(HLOOKUP(CONCATENATE($B$197,-1),alles!$D$1:$AA$208,(MATCH(L242,alles!$C$1:$C$208,0)),0))</f>
        <v>15</v>
      </c>
      <c r="D242" s="367">
        <f>(HLOOKUP(CONCATENATE($B$197,-2),alles!$D$1:$AA$208,(MATCH(L242,alles!$C$1:$C$208,0)),0))</f>
        <v>155.5</v>
      </c>
      <c r="E242" s="367">
        <f t="shared" si="40"/>
        <v>170.5</v>
      </c>
      <c r="F242" s="371">
        <f>(HLOOKUP($B$197,'CO2 equivalenten'!$D$4:$P$218,(MATCH(M242,'CO2 equivalenten'!$C$4:$C$218,0)),0))</f>
        <v>2.573</v>
      </c>
      <c r="G242" s="370">
        <f t="shared" si="43"/>
        <v>38.594999999999999</v>
      </c>
      <c r="H242" s="370">
        <f t="shared" si="42"/>
        <v>400.10149999999999</v>
      </c>
      <c r="I242" s="370">
        <f t="shared" si="41"/>
        <v>438.69650000000001</v>
      </c>
      <c r="J242" s="250"/>
      <c r="L242" t="s">
        <v>372</v>
      </c>
      <c r="M242" t="s">
        <v>372</v>
      </c>
    </row>
    <row r="243" spans="1:13" x14ac:dyDescent="0.2">
      <c r="A243" s="366" t="s">
        <v>92</v>
      </c>
      <c r="B243" s="366" t="s">
        <v>82</v>
      </c>
      <c r="C243" s="367">
        <f>(HLOOKUP(CONCATENATE($B$197,-1),alles!$D$1:$AA$208,(MATCH(L243,alles!$C$1:$C$208,0)),0))</f>
        <v>2671</v>
      </c>
      <c r="D243" s="367">
        <f>(HLOOKUP(CONCATENATE($B$197,-2),alles!$D$1:$AA$208,(MATCH(L243,alles!$C$1:$C$208,0)),0))</f>
        <v>3512.82</v>
      </c>
      <c r="E243" s="367">
        <f t="shared" si="40"/>
        <v>6183.82</v>
      </c>
      <c r="F243" s="371">
        <f>(HLOOKUP($B$197,'CO2 equivalenten'!$D$4:$P$218,(MATCH(M243,'CO2 equivalenten'!$C$4:$C$218,0)),0))</f>
        <v>8.9499999999999996E-2</v>
      </c>
      <c r="G243" s="370">
        <f t="shared" si="43"/>
        <v>239.05449999999999</v>
      </c>
      <c r="H243" s="370">
        <f t="shared" si="42"/>
        <v>314.39738999999997</v>
      </c>
      <c r="I243" s="370">
        <f t="shared" si="41"/>
        <v>553.45188999999993</v>
      </c>
      <c r="J243" s="250"/>
      <c r="L243" t="s">
        <v>374</v>
      </c>
      <c r="M243" t="s">
        <v>374</v>
      </c>
    </row>
    <row r="244" spans="1:13" x14ac:dyDescent="0.2">
      <c r="A244" s="366" t="s">
        <v>274</v>
      </c>
      <c r="B244" s="366" t="s">
        <v>68</v>
      </c>
      <c r="C244" s="367">
        <f>(HLOOKUP(CONCATENATE($B$197,-1),alles!$D$1:$AA$208,(MATCH(L244,alles!$C$1:$C$208,0)),0))</f>
        <v>198</v>
      </c>
      <c r="D244" s="367">
        <f>(HLOOKUP(CONCATENATE($B$197,-2),alles!$D$1:$AA$208,(MATCH(L244,alles!$C$1:$C$208,0)),0))</f>
        <v>1430.13</v>
      </c>
      <c r="E244" s="367">
        <f t="shared" si="40"/>
        <v>1628.13</v>
      </c>
      <c r="F244" s="371">
        <f>(HLOOKUP($B$197,'CO2 equivalenten'!$D$4:$P$218,(MATCH(M244,'CO2 equivalenten'!$C$4:$C$218,0)),0))</f>
        <v>0.67600000000000005</v>
      </c>
      <c r="G244" s="370">
        <f t="shared" si="43"/>
        <v>133.84800000000001</v>
      </c>
      <c r="H244" s="370">
        <f t="shared" si="42"/>
        <v>966.7678800000001</v>
      </c>
      <c r="I244" s="370">
        <f t="shared" si="41"/>
        <v>1100.6158800000001</v>
      </c>
      <c r="J244" s="250"/>
      <c r="L244" t="s">
        <v>281</v>
      </c>
      <c r="M244" t="s">
        <v>281</v>
      </c>
    </row>
    <row r="245" spans="1:13" x14ac:dyDescent="0.2">
      <c r="A245" s="366" t="s">
        <v>95</v>
      </c>
      <c r="B245" s="366" t="s">
        <v>600</v>
      </c>
      <c r="C245" s="367">
        <f>(HLOOKUP(CONCATENATE($B$197,-1),alles!$D$1:$AA$208,(MATCH(L245,alles!$C$1:$C$208,0)),0))</f>
        <v>15862</v>
      </c>
      <c r="D245" s="367">
        <f>(HLOOKUP(CONCATENATE($B$197,-2),alles!$D$1:$AA$208,(MATCH(L245,alles!$C$1:$C$208,0)),0))</f>
        <v>10128.14</v>
      </c>
      <c r="E245" s="367">
        <f t="shared" si="40"/>
        <v>25990.14</v>
      </c>
      <c r="F245" s="371">
        <f>(HLOOKUP($B$197,'CO2 equivalenten'!$D$4:$P$218,(MATCH(M245,'CO2 equivalenten'!$C$4:$C$218,0)),0))</f>
        <v>7.1999999999999998E-3</v>
      </c>
      <c r="G245" s="370">
        <f t="shared" si="43"/>
        <v>114.2064</v>
      </c>
      <c r="H245" s="370">
        <f t="shared" si="42"/>
        <v>72.922607999999997</v>
      </c>
      <c r="I245" s="370">
        <f t="shared" si="41"/>
        <v>187.129008</v>
      </c>
      <c r="J245" s="250"/>
      <c r="L245" t="s">
        <v>282</v>
      </c>
      <c r="M245" t="s">
        <v>282</v>
      </c>
    </row>
    <row r="246" spans="1:13" x14ac:dyDescent="0.2">
      <c r="A246" s="360" t="s">
        <v>400</v>
      </c>
      <c r="B246" s="360" t="s">
        <v>47</v>
      </c>
      <c r="C246" s="367">
        <f>(HLOOKUP(CONCATENATE($B$197,-1),alles!$D$1:$AA$208,(MATCH(L246,alles!$C$1:$C$208,0)),0))</f>
        <v>344</v>
      </c>
      <c r="D246" s="367">
        <f>(HLOOKUP(CONCATENATE($B$197,-2),alles!$D$1:$AA$208,(MATCH(L246,alles!$C$1:$C$208,0)),0))</f>
        <v>141.76</v>
      </c>
      <c r="E246" s="367">
        <f t="shared" si="40"/>
        <v>485.76</v>
      </c>
      <c r="F246" s="371">
        <f>(HLOOKUP($B$197,'CO2 equivalenten'!$D$4:$P$218,(MATCH(M246,'CO2 equivalenten'!$C$4:$C$218,0)),0))</f>
        <v>0</v>
      </c>
      <c r="G246" s="370">
        <f t="shared" si="43"/>
        <v>0</v>
      </c>
      <c r="H246" s="370">
        <f t="shared" si="42"/>
        <v>0</v>
      </c>
      <c r="I246" s="370">
        <f t="shared" si="41"/>
        <v>0</v>
      </c>
      <c r="J246" s="250"/>
      <c r="L246" t="s">
        <v>380</v>
      </c>
      <c r="M246" t="s">
        <v>380</v>
      </c>
    </row>
    <row r="247" spans="1:13" ht="17" x14ac:dyDescent="0.2">
      <c r="A247" s="672" t="s">
        <v>9</v>
      </c>
      <c r="B247" s="373"/>
      <c r="C247" s="349">
        <f>(HLOOKUP(CONCATENATE($B$197,-1),alles!$D$1:$AA$208,(MATCH(L247,alles!$C$1:$C$208,0)),0))</f>
        <v>107910</v>
      </c>
      <c r="D247" s="349">
        <f>(HLOOKUP(CONCATENATE($B$197,-2),alles!$D$1:$AA$208,(MATCH(L247,alles!$C$1:$C$208,0)),0))</f>
        <v>108012</v>
      </c>
      <c r="E247" s="349">
        <f t="shared" si="40"/>
        <v>215922</v>
      </c>
      <c r="F247" s="375" t="s">
        <v>401</v>
      </c>
      <c r="G247" s="383">
        <f>SUM(G248:G252)</f>
        <v>21.042449999999999</v>
      </c>
      <c r="H247" s="383">
        <f>SUM(H248:H252)</f>
        <v>21.062340000000003</v>
      </c>
      <c r="I247" s="383">
        <f t="shared" si="41"/>
        <v>42.104790000000001</v>
      </c>
      <c r="J247" s="250"/>
      <c r="L247" t="s">
        <v>299</v>
      </c>
    </row>
    <row r="248" spans="1:13" ht="29" x14ac:dyDescent="0.2">
      <c r="A248" s="675" t="s">
        <v>596</v>
      </c>
      <c r="B248" s="354" t="s">
        <v>21</v>
      </c>
      <c r="C248" s="367">
        <f>(HLOOKUP(CONCATENATE($B$197,-1),alles!$D$1:$AA$208,(MATCH(L248,alles!$C$1:$C$208,0)),0))</f>
        <v>93262</v>
      </c>
      <c r="D248" s="367">
        <f>(HLOOKUP(CONCATENATE($B$197,-2),alles!$D$1:$AA$208,(MATCH(L248,alles!$C$1:$C$208,0)),0))</f>
        <v>96852</v>
      </c>
      <c r="E248" s="367">
        <f t="shared" si="40"/>
        <v>190114</v>
      </c>
      <c r="F248" s="371">
        <f>(HLOOKUP($B$197,'CO2 equivalenten'!$D$4:$P$218,(MATCH(M248,'CO2 equivalenten'!$C$4:$C$218,0)),0))</f>
        <v>1.95E-4</v>
      </c>
      <c r="G248" s="370">
        <f t="shared" ref="G248:G252" si="44">C248*F248</f>
        <v>18.18609</v>
      </c>
      <c r="H248" s="370">
        <f t="shared" ref="H248:H252" si="45">D248*F248</f>
        <v>18.886140000000001</v>
      </c>
      <c r="I248" s="370">
        <f t="shared" si="41"/>
        <v>37.072230000000005</v>
      </c>
      <c r="J248" s="250"/>
      <c r="L248" t="s">
        <v>555</v>
      </c>
      <c r="M248" t="s">
        <v>310</v>
      </c>
    </row>
    <row r="249" spans="1:13" ht="29" x14ac:dyDescent="0.2">
      <c r="A249" s="676" t="s">
        <v>597</v>
      </c>
      <c r="B249" s="366" t="s">
        <v>21</v>
      </c>
      <c r="C249" s="367">
        <f>(HLOOKUP(CONCATENATE($B$197,-1),alles!$D$1:$AA$208,(MATCH(L249,alles!$C$1:$C$208,0)),0))</f>
        <v>14648</v>
      </c>
      <c r="D249" s="367">
        <f>(HLOOKUP(CONCATENATE($B$197,-2),alles!$D$1:$AA$208,(MATCH(L249,alles!$C$1:$C$208,0)),0))</f>
        <v>11160</v>
      </c>
      <c r="E249" s="367">
        <f t="shared" si="40"/>
        <v>25808</v>
      </c>
      <c r="F249" s="371">
        <f>(HLOOKUP($B$197,'CO2 equivalenten'!$D$4:$P$218,(MATCH(M249,'CO2 equivalenten'!$C$4:$C$218,0)),0))</f>
        <v>1.95E-4</v>
      </c>
      <c r="G249" s="370">
        <f t="shared" si="44"/>
        <v>2.85636</v>
      </c>
      <c r="H249" s="370">
        <f t="shared" si="45"/>
        <v>2.1762000000000001</v>
      </c>
      <c r="I249" s="370">
        <f t="shared" si="41"/>
        <v>5.0325600000000001</v>
      </c>
      <c r="J249" s="250"/>
      <c r="L249" t="s">
        <v>556</v>
      </c>
      <c r="M249" t="s">
        <v>310</v>
      </c>
    </row>
    <row r="250" spans="1:13" x14ac:dyDescent="0.2">
      <c r="A250" s="676" t="s">
        <v>15</v>
      </c>
      <c r="B250" s="366" t="s">
        <v>21</v>
      </c>
      <c r="C250" s="367">
        <f>(HLOOKUP(CONCATENATE($B$197,-1),alles!$D$1:$AA$208,(MATCH(L250,alles!$C$1:$C$208,0)),0))</f>
        <v>0</v>
      </c>
      <c r="D250" s="367">
        <f>(HLOOKUP(CONCATENATE($B$197,-2),alles!$D$1:$AA$208,(MATCH(L250,alles!$C$1:$C$208,0)),0))</f>
        <v>0</v>
      </c>
      <c r="E250" s="367">
        <f t="shared" si="40"/>
        <v>0</v>
      </c>
      <c r="F250" s="371">
        <f>(HLOOKUP($B$197,'CO2 equivalenten'!$D$4:$P$218,(MATCH(M250,'CO2 equivalenten'!$C$4:$C$218,0)),0))</f>
        <v>2.02E-4</v>
      </c>
      <c r="G250" s="370">
        <f t="shared" si="44"/>
        <v>0</v>
      </c>
      <c r="H250" s="370">
        <f t="shared" si="45"/>
        <v>0</v>
      </c>
      <c r="I250" s="370">
        <f t="shared" si="41"/>
        <v>0</v>
      </c>
      <c r="J250" s="250"/>
      <c r="L250" t="s">
        <v>331</v>
      </c>
      <c r="M250" t="s">
        <v>331</v>
      </c>
    </row>
    <row r="251" spans="1:13" x14ac:dyDescent="0.2">
      <c r="A251" s="676" t="s">
        <v>14</v>
      </c>
      <c r="B251" s="366" t="s">
        <v>21</v>
      </c>
      <c r="C251" s="367">
        <f>(HLOOKUP(CONCATENATE($B$197,-1),alles!$D$1:$AA$208,(MATCH(L251,alles!$C$1:$C$208,0)),0))</f>
        <v>0</v>
      </c>
      <c r="D251" s="367">
        <f>(HLOOKUP(CONCATENATE($B$197,-2),alles!$D$1:$AA$208,(MATCH(L251,alles!$C$1:$C$208,0)),0))</f>
        <v>0</v>
      </c>
      <c r="E251" s="367">
        <f t="shared" si="40"/>
        <v>0</v>
      </c>
      <c r="F251" s="371">
        <f>(HLOOKUP($B$197,'CO2 equivalenten'!$D$4:$P$218,(MATCH(M251,'CO2 equivalenten'!$C$4:$C$218,0)),0))</f>
        <v>1.76E-4</v>
      </c>
      <c r="G251" s="370">
        <f t="shared" si="44"/>
        <v>0</v>
      </c>
      <c r="H251" s="370">
        <f t="shared" si="45"/>
        <v>0</v>
      </c>
      <c r="I251" s="370">
        <f t="shared" si="41"/>
        <v>0</v>
      </c>
      <c r="J251" s="250"/>
      <c r="L251" t="s">
        <v>332</v>
      </c>
      <c r="M251" t="s">
        <v>332</v>
      </c>
    </row>
    <row r="252" spans="1:13" x14ac:dyDescent="0.2">
      <c r="A252" s="677" t="s">
        <v>16</v>
      </c>
      <c r="B252" s="366" t="s">
        <v>21</v>
      </c>
      <c r="C252" s="367">
        <f>(HLOOKUP(CONCATENATE($B$197,-1),alles!$D$1:$AA$208,(MATCH(L252,alles!$C$1:$C$208,0)),0))</f>
        <v>0</v>
      </c>
      <c r="D252" s="367">
        <f>(HLOOKUP(CONCATENATE($B$197,-2),alles!$D$1:$AA$208,(MATCH(L252,alles!$C$1:$C$208,0)),0))</f>
        <v>0</v>
      </c>
      <c r="E252" s="367">
        <f t="shared" si="40"/>
        <v>0</v>
      </c>
      <c r="F252" s="371">
        <f>(HLOOKUP($B$197,'CO2 equivalenten'!$D$4:$P$218,(MATCH(M252,'CO2 equivalenten'!$C$4:$C$218,0)),0))</f>
        <v>1.5300000000000001E-4</v>
      </c>
      <c r="G252" s="370">
        <f t="shared" si="44"/>
        <v>0</v>
      </c>
      <c r="H252" s="370">
        <f t="shared" si="45"/>
        <v>0</v>
      </c>
      <c r="I252" s="370">
        <f t="shared" si="41"/>
        <v>0</v>
      </c>
      <c r="J252" s="250"/>
      <c r="L252" t="s">
        <v>333</v>
      </c>
      <c r="M252" t="s">
        <v>333</v>
      </c>
    </row>
    <row r="253" spans="1:13" ht="17" hidden="1" x14ac:dyDescent="0.2">
      <c r="A253" s="673" t="s">
        <v>459</v>
      </c>
      <c r="B253" s="373"/>
      <c r="C253" s="349">
        <f>(HLOOKUP(CONCATENATE($B$267,-1),alles!$D$1:$AA$208,(MATCH(L253,alles!$C$1:$C$208,0)),0))</f>
        <v>0</v>
      </c>
      <c r="D253" s="349">
        <f>(HLOOKUP(CONCATENATE($B$267,-2),alles!$D$1:$AA$208,(MATCH(L253,alles!$C$1:$C$208,0)),0))</f>
        <v>0</v>
      </c>
      <c r="E253" s="349">
        <f t="shared" si="40"/>
        <v>0</v>
      </c>
      <c r="F253" s="375" t="s">
        <v>289</v>
      </c>
      <c r="G253" s="383">
        <v>0</v>
      </c>
      <c r="H253" s="383">
        <v>0</v>
      </c>
      <c r="I253" s="383">
        <f t="shared" si="41"/>
        <v>0</v>
      </c>
      <c r="J253" s="250"/>
      <c r="L253" t="s">
        <v>488</v>
      </c>
    </row>
    <row r="254" spans="1:13" ht="17" x14ac:dyDescent="0.2">
      <c r="A254" s="673" t="s">
        <v>455</v>
      </c>
      <c r="B254" s="352" t="s">
        <v>289</v>
      </c>
      <c r="C254" s="353" t="s">
        <v>289</v>
      </c>
      <c r="D254" s="353" t="s">
        <v>289</v>
      </c>
      <c r="E254" s="353" t="s">
        <v>289</v>
      </c>
      <c r="F254" s="353" t="s">
        <v>289</v>
      </c>
      <c r="G254" s="450">
        <f>G227+G228+G229+G230+G231+G247+G253</f>
        <v>1210.9983499999998</v>
      </c>
      <c r="H254" s="450">
        <f t="shared" ref="H254" si="46">H227+H228+H229+H230+H231+H247+H253</f>
        <v>2622.390578</v>
      </c>
      <c r="I254" s="450">
        <f t="shared" ref="I254" si="47">I227+I228+I229+I230+I231+I247+I253</f>
        <v>3833.3889279999999</v>
      </c>
      <c r="J254" s="250"/>
    </row>
    <row r="255" spans="1:13" ht="7" customHeight="1" x14ac:dyDescent="0.2">
      <c r="A255" s="678"/>
      <c r="B255" s="373"/>
      <c r="C255" s="376"/>
      <c r="D255" s="376"/>
      <c r="E255" s="376"/>
      <c r="F255" s="381"/>
      <c r="G255" s="679"/>
      <c r="H255" s="679"/>
      <c r="I255" s="679"/>
      <c r="J255" s="250"/>
    </row>
    <row r="256" spans="1:13" x14ac:dyDescent="0.2">
      <c r="A256" s="680" t="s">
        <v>441</v>
      </c>
      <c r="B256" s="373"/>
      <c r="C256" s="381"/>
      <c r="D256" s="381"/>
      <c r="E256" s="381"/>
      <c r="F256" s="381"/>
      <c r="G256" s="381"/>
      <c r="H256" s="381"/>
      <c r="I256" s="382"/>
      <c r="J256" s="250"/>
    </row>
    <row r="257" spans="1:13" ht="34" hidden="1" x14ac:dyDescent="0.2">
      <c r="A257" s="673" t="s">
        <v>446</v>
      </c>
      <c r="B257" s="373"/>
      <c r="C257" s="349">
        <f>(HLOOKUP(CONCATENATE($B$267,-1),alles!$D$1:$AA$208,(MATCH(L257,alles!$C$1:$C$208,0)),0))</f>
        <v>0</v>
      </c>
      <c r="D257" s="349">
        <f>(HLOOKUP(CONCATENATE($B$267,-2),alles!$D$1:$AA$208,(MATCH(L257,alles!$C$1:$C$208,0)),0))</f>
        <v>0</v>
      </c>
      <c r="E257" s="349">
        <f t="shared" ref="E257:E263" si="48">C257+D257</f>
        <v>0</v>
      </c>
      <c r="F257" s="375" t="s">
        <v>289</v>
      </c>
      <c r="G257" s="383">
        <v>0</v>
      </c>
      <c r="H257" s="383">
        <v>0</v>
      </c>
      <c r="I257" s="383">
        <f t="shared" ref="I257:I263" si="49">G257+H257</f>
        <v>0</v>
      </c>
      <c r="J257" s="251"/>
      <c r="L257" s="542" t="s">
        <v>493</v>
      </c>
    </row>
    <row r="258" spans="1:13" ht="34" hidden="1" x14ac:dyDescent="0.2">
      <c r="A258" s="673" t="s">
        <v>447</v>
      </c>
      <c r="B258" s="373"/>
      <c r="C258" s="349">
        <f>(HLOOKUP(CONCATENATE($B$267,-1),alles!$D$1:$AA$208,(MATCH(L258,alles!$C$1:$C$208,0)),0))</f>
        <v>0</v>
      </c>
      <c r="D258" s="349">
        <f>(HLOOKUP(CONCATENATE($B$267,-2),alles!$D$1:$AA$208,(MATCH(L258,alles!$C$1:$C$208,0)),0))</f>
        <v>0</v>
      </c>
      <c r="E258" s="349">
        <f t="shared" si="48"/>
        <v>0</v>
      </c>
      <c r="F258" s="375" t="s">
        <v>289</v>
      </c>
      <c r="G258" s="383">
        <v>0</v>
      </c>
      <c r="H258" s="383">
        <v>0</v>
      </c>
      <c r="I258" s="383">
        <f t="shared" si="49"/>
        <v>0</v>
      </c>
      <c r="J258" s="251"/>
      <c r="L258" s="542" t="s">
        <v>498</v>
      </c>
    </row>
    <row r="259" spans="1:13" ht="34" hidden="1" x14ac:dyDescent="0.2">
      <c r="A259" s="673" t="s">
        <v>460</v>
      </c>
      <c r="B259" s="373"/>
      <c r="C259" s="349">
        <f>(HLOOKUP(CONCATENATE($B$267,-1),alles!$D$1:$AA$208,(MATCH(L259,alles!$C$1:$C$208,0)),0))</f>
        <v>0</v>
      </c>
      <c r="D259" s="349">
        <f>(HLOOKUP(CONCATENATE($B$267,-2),alles!$D$1:$AA$208,(MATCH(L259,alles!$C$1:$C$208,0)),0))</f>
        <v>0</v>
      </c>
      <c r="E259" s="349">
        <f t="shared" si="48"/>
        <v>0</v>
      </c>
      <c r="F259" s="375" t="s">
        <v>289</v>
      </c>
      <c r="G259" s="383">
        <v>0</v>
      </c>
      <c r="H259" s="383">
        <v>0</v>
      </c>
      <c r="I259" s="383">
        <f t="shared" si="49"/>
        <v>0</v>
      </c>
      <c r="J259" s="251"/>
      <c r="L259" s="542" t="s">
        <v>503</v>
      </c>
    </row>
    <row r="260" spans="1:13" ht="51" hidden="1" x14ac:dyDescent="0.2">
      <c r="A260" s="673" t="s">
        <v>462</v>
      </c>
      <c r="B260" s="373"/>
      <c r="C260" s="349">
        <f>(HLOOKUP(CONCATENATE($B$267,-1),alles!$D$1:$AA$208,(MATCH(L260,alles!$C$1:$C$208,0)),0))</f>
        <v>0</v>
      </c>
      <c r="D260" s="349">
        <f>(HLOOKUP(CONCATENATE($B$267,-2),alles!$D$1:$AA$208,(MATCH(L260,alles!$C$1:$C$208,0)),0))</f>
        <v>0</v>
      </c>
      <c r="E260" s="349">
        <f t="shared" si="48"/>
        <v>0</v>
      </c>
      <c r="F260" s="375" t="s">
        <v>289</v>
      </c>
      <c r="G260" s="383">
        <v>0</v>
      </c>
      <c r="H260" s="383">
        <v>0</v>
      </c>
      <c r="I260" s="383">
        <f t="shared" si="49"/>
        <v>0</v>
      </c>
      <c r="J260" s="251"/>
      <c r="L260" s="542" t="s">
        <v>508</v>
      </c>
    </row>
    <row r="261" spans="1:13" ht="17" hidden="1" x14ac:dyDescent="0.2">
      <c r="A261" s="673" t="s">
        <v>448</v>
      </c>
      <c r="B261" s="373"/>
      <c r="C261" s="349">
        <f>(HLOOKUP(CONCATENATE($B$267,-1),alles!$D$1:$AA$208,(MATCH(L261,alles!$C$1:$C$208,0)),0))</f>
        <v>0</v>
      </c>
      <c r="D261" s="349">
        <f>(HLOOKUP(CONCATENATE($B$267,-2),alles!$D$1:$AA$208,(MATCH(L261,alles!$C$1:$C$208,0)),0))</f>
        <v>0</v>
      </c>
      <c r="E261" s="349">
        <f t="shared" si="48"/>
        <v>0</v>
      </c>
      <c r="F261" s="375" t="s">
        <v>289</v>
      </c>
      <c r="G261" s="383">
        <v>0</v>
      </c>
      <c r="H261" s="383">
        <v>0</v>
      </c>
      <c r="I261" s="383">
        <f t="shared" si="49"/>
        <v>0</v>
      </c>
      <c r="J261" s="250"/>
      <c r="L261" s="542" t="s">
        <v>513</v>
      </c>
    </row>
    <row r="262" spans="1:13" ht="17" hidden="1" x14ac:dyDescent="0.2">
      <c r="A262" s="673" t="s">
        <v>449</v>
      </c>
      <c r="B262" s="373"/>
      <c r="C262" s="349">
        <f>(HLOOKUP(CONCATENATE($B$267,-1),alles!$D$1:$AA$208,(MATCH(L262,alles!$C$1:$C$208,0)),0))</f>
        <v>0</v>
      </c>
      <c r="D262" s="349">
        <f>(HLOOKUP(CONCATENATE($B$267,-2),alles!$D$1:$AA$208,(MATCH(L262,alles!$C$1:$C$208,0)),0))</f>
        <v>0</v>
      </c>
      <c r="E262" s="349">
        <f t="shared" si="48"/>
        <v>0</v>
      </c>
      <c r="F262" s="375" t="s">
        <v>289</v>
      </c>
      <c r="G262" s="383">
        <v>0</v>
      </c>
      <c r="H262" s="383">
        <v>0</v>
      </c>
      <c r="I262" s="383">
        <f t="shared" si="49"/>
        <v>0</v>
      </c>
      <c r="J262" s="250"/>
      <c r="L262" s="542" t="s">
        <v>514</v>
      </c>
    </row>
    <row r="263" spans="1:13" ht="17" hidden="1" x14ac:dyDescent="0.2">
      <c r="A263" s="673" t="s">
        <v>450</v>
      </c>
      <c r="B263" s="674"/>
      <c r="C263" s="349">
        <f>(HLOOKUP(CONCATENATE($B$267,-1),alles!$D$1:$AA$208,(MATCH(L263,alles!$C$1:$C$208,0)),0))</f>
        <v>0</v>
      </c>
      <c r="D263" s="349">
        <f>(HLOOKUP(CONCATENATE($B$267,-2),alles!$D$1:$AA$208,(MATCH(L263,alles!$C$1:$C$208,0)),0))</f>
        <v>0</v>
      </c>
      <c r="E263" s="349">
        <f t="shared" si="48"/>
        <v>0</v>
      </c>
      <c r="F263" s="375" t="s">
        <v>289</v>
      </c>
      <c r="G263" s="383">
        <v>0</v>
      </c>
      <c r="H263" s="383">
        <v>0</v>
      </c>
      <c r="I263" s="383">
        <f t="shared" si="49"/>
        <v>0</v>
      </c>
      <c r="J263" s="250"/>
      <c r="L263" s="542" t="s">
        <v>515</v>
      </c>
    </row>
    <row r="264" spans="1:13" x14ac:dyDescent="0.2">
      <c r="A264" s="352" t="s">
        <v>31</v>
      </c>
      <c r="B264" s="352" t="s">
        <v>289</v>
      </c>
      <c r="C264" s="353" t="s">
        <v>289</v>
      </c>
      <c r="D264" s="353" t="s">
        <v>289</v>
      </c>
      <c r="E264" s="353" t="s">
        <v>289</v>
      </c>
      <c r="F264" s="353" t="s">
        <v>289</v>
      </c>
      <c r="G264" s="380">
        <f>SUM(G257:G260)</f>
        <v>0</v>
      </c>
      <c r="H264" s="380">
        <f>SUM(H257:H260)</f>
        <v>0</v>
      </c>
      <c r="I264" s="380">
        <f>SUM(I257:I260)</f>
        <v>0</v>
      </c>
      <c r="J264" s="251"/>
    </row>
    <row r="265" spans="1:13" ht="6" customHeight="1" x14ac:dyDescent="0.2">
      <c r="A265" s="234"/>
      <c r="B265" s="234"/>
      <c r="C265" s="250"/>
      <c r="D265" s="250"/>
      <c r="E265" s="250"/>
      <c r="F265" s="250"/>
      <c r="G265" s="250"/>
      <c r="H265" s="250"/>
      <c r="I265" s="250"/>
      <c r="J265" s="250"/>
    </row>
    <row r="266" spans="1:13" x14ac:dyDescent="0.2">
      <c r="A266" s="234"/>
      <c r="B266" s="234"/>
      <c r="C266" s="250"/>
      <c r="D266" s="250"/>
      <c r="E266" s="250"/>
      <c r="F266" s="250"/>
      <c r="G266" s="250"/>
      <c r="H266" s="250"/>
      <c r="I266" s="250"/>
      <c r="J266" s="250"/>
    </row>
    <row r="267" spans="1:13" x14ac:dyDescent="0.2">
      <c r="A267" s="234" t="s">
        <v>602</v>
      </c>
      <c r="B267" s="234">
        <v>2025</v>
      </c>
      <c r="C267" s="250"/>
      <c r="D267" s="250"/>
      <c r="E267" s="250"/>
      <c r="F267" s="250"/>
      <c r="G267" s="250"/>
      <c r="H267" s="250"/>
      <c r="I267" s="250"/>
      <c r="J267" s="250"/>
    </row>
    <row r="268" spans="1:13" ht="6" customHeight="1" x14ac:dyDescent="0.2">
      <c r="A268" s="234"/>
      <c r="B268" s="234"/>
      <c r="C268" s="250"/>
      <c r="D268" s="250"/>
      <c r="E268" s="250"/>
      <c r="F268" s="250"/>
      <c r="G268" s="250"/>
      <c r="H268" s="250"/>
      <c r="I268" s="250"/>
      <c r="J268" s="250"/>
    </row>
    <row r="269" spans="1:13" x14ac:dyDescent="0.2">
      <c r="A269" s="372" t="s">
        <v>285</v>
      </c>
      <c r="B269" s="373"/>
      <c r="C269" s="381"/>
      <c r="D269" s="381"/>
      <c r="E269" s="381"/>
      <c r="F269" s="381"/>
      <c r="G269" s="381"/>
      <c r="H269" s="381"/>
      <c r="I269" s="382"/>
      <c r="J269" s="250"/>
    </row>
    <row r="270" spans="1:13" ht="34" x14ac:dyDescent="0.2">
      <c r="A270" s="348"/>
      <c r="B270" s="348" t="s">
        <v>20</v>
      </c>
      <c r="C270" s="375" t="s">
        <v>18</v>
      </c>
      <c r="D270" s="375" t="s">
        <v>19</v>
      </c>
      <c r="E270" s="375" t="s">
        <v>31</v>
      </c>
      <c r="F270" s="465" t="s">
        <v>290</v>
      </c>
      <c r="G270" s="375" t="s">
        <v>18</v>
      </c>
      <c r="H270" s="375" t="s">
        <v>19</v>
      </c>
      <c r="I270" s="375" t="s">
        <v>31</v>
      </c>
      <c r="J270" s="251"/>
    </row>
    <row r="271" spans="1:13" x14ac:dyDescent="0.2">
      <c r="A271" s="348" t="s">
        <v>35</v>
      </c>
      <c r="B271" s="348" t="s">
        <v>287</v>
      </c>
      <c r="C271" s="349">
        <f>(HLOOKUP(CONCATENATE($B$267,-1),alles!$D$1:$AA$208,(MATCH(L271,alles!$C$1:$C$208,0)),0))</f>
        <v>4998</v>
      </c>
      <c r="D271" s="349">
        <f>(HLOOKUP(CONCATENATE($B$267,-2),alles!$D$1:$AA$208,(MATCH(L271,alles!$C$1:$C$208,0)),0))</f>
        <v>3375</v>
      </c>
      <c r="E271" s="349">
        <f t="shared" ref="E271:E285" si="50">C271+D271</f>
        <v>8373</v>
      </c>
      <c r="F271" s="375">
        <f>(HLOOKUP($B$267,'CO2 equivalenten'!$D$4:$P$218,(MATCH(M201,'CO2 equivalenten'!$C$4:$C$218,0)),0))</f>
        <v>2.134E-3</v>
      </c>
      <c r="G271" s="383">
        <f>C271*F271</f>
        <v>10.665732</v>
      </c>
      <c r="H271" s="383">
        <f>D271*F271</f>
        <v>7.2022500000000003</v>
      </c>
      <c r="I271" s="383">
        <f>G271+H271</f>
        <v>17.867982000000001</v>
      </c>
      <c r="J271" s="251"/>
      <c r="L271" t="s">
        <v>291</v>
      </c>
      <c r="M271" t="s">
        <v>305</v>
      </c>
    </row>
    <row r="272" spans="1:13" ht="34" x14ac:dyDescent="0.2">
      <c r="A272" s="419" t="s">
        <v>420</v>
      </c>
      <c r="B272" s="348" t="s">
        <v>21</v>
      </c>
      <c r="C272" s="349">
        <f>SUM(C273:C276)</f>
        <v>310160.2</v>
      </c>
      <c r="D272" s="349">
        <f>SUM(D273:D276)</f>
        <v>302410.69999999995</v>
      </c>
      <c r="E272" s="349">
        <f t="shared" si="50"/>
        <v>612570.89999999991</v>
      </c>
      <c r="F272" s="375" t="s">
        <v>401</v>
      </c>
      <c r="G272" s="383">
        <f>SUM(G273:G276)</f>
        <v>1008.3308102000001</v>
      </c>
      <c r="H272" s="383">
        <f>SUM(H273:H276)</f>
        <v>983.1371856999998</v>
      </c>
      <c r="I272" s="383">
        <f t="shared" ref="I272:I286" si="51">G272+H272</f>
        <v>1991.4679959</v>
      </c>
      <c r="J272" s="251"/>
      <c r="L272" t="s">
        <v>292</v>
      </c>
    </row>
    <row r="273" spans="1:13" x14ac:dyDescent="0.2">
      <c r="A273" s="354" t="s">
        <v>14</v>
      </c>
      <c r="B273" s="354" t="s">
        <v>21</v>
      </c>
      <c r="C273" s="355">
        <f>(HLOOKUP(CONCATENATE($B$267,-1),alles!$D$1:$AA$208,(MATCH(L273,alles!$C$1:$C$208,0)),0))</f>
        <v>310160.2</v>
      </c>
      <c r="D273" s="355">
        <f>(HLOOKUP(CONCATENATE($B$267,-2),alles!$D$1:$AA$208,(MATCH(L273,alles!$C$1:$C$208,0)),0))</f>
        <v>302410.69999999995</v>
      </c>
      <c r="E273" s="355">
        <f t="shared" si="50"/>
        <v>612570.89999999991</v>
      </c>
      <c r="F273" s="384">
        <f>(HLOOKUP($B$267,'CO2 equivalenten'!$D$4:$P$218,(MATCH(M273,'CO2 equivalenten'!$C$4:$C$218,0)),0))</f>
        <v>3.251E-3</v>
      </c>
      <c r="G273" s="385">
        <f>C273*F273</f>
        <v>1008.3308102000001</v>
      </c>
      <c r="H273" s="385">
        <f t="shared" ref="H273:H276" si="52">D273*F273</f>
        <v>983.1371856999998</v>
      </c>
      <c r="I273" s="385">
        <f t="shared" ref="I273:I276" si="53">G273+H273</f>
        <v>1991.4679959</v>
      </c>
      <c r="J273" s="251"/>
      <c r="L273" t="s">
        <v>414</v>
      </c>
      <c r="M273" t="s">
        <v>306</v>
      </c>
    </row>
    <row r="274" spans="1:13" x14ac:dyDescent="0.2">
      <c r="A274" s="366" t="s">
        <v>15</v>
      </c>
      <c r="B274" s="366" t="s">
        <v>21</v>
      </c>
      <c r="C274" s="367">
        <f>(HLOOKUP(CONCATENATE($B$267,-1),alles!$D$1:$AA$208,(MATCH(L274,alles!$C$1:$C$208,0)),0))</f>
        <v>0</v>
      </c>
      <c r="D274" s="367">
        <f>(HLOOKUP(CONCATENATE($B$267,-2),alles!$D$1:$AA$208,(MATCH(L274,alles!$C$1:$C$208,0)),0))</f>
        <v>0</v>
      </c>
      <c r="E274" s="367">
        <f t="shared" ref="E274" si="54">C274+D274</f>
        <v>0</v>
      </c>
      <c r="F274" s="386">
        <f>(HLOOKUP($B$267,'CO2 equivalenten'!$D$4:$P$218,(MATCH(M274,'CO2 equivalenten'!$C$4:$C$218,0)),0))</f>
        <v>2.797E-3</v>
      </c>
      <c r="G274" s="387">
        <f t="shared" ref="G274" si="55">C274*F274</f>
        <v>0</v>
      </c>
      <c r="H274" s="387">
        <f t="shared" ref="H274" si="56">D274*F274</f>
        <v>0</v>
      </c>
      <c r="I274" s="387">
        <f t="shared" ref="I274" si="57">G274+H274</f>
        <v>0</v>
      </c>
      <c r="J274" s="251"/>
      <c r="L274" t="s">
        <v>405</v>
      </c>
      <c r="M274" t="s">
        <v>308</v>
      </c>
    </row>
    <row r="275" spans="1:13" x14ac:dyDescent="0.2">
      <c r="A275" s="366" t="s">
        <v>403</v>
      </c>
      <c r="B275" s="366" t="s">
        <v>21</v>
      </c>
      <c r="C275" s="367">
        <f>(HLOOKUP(CONCATENATE($B$267,-1),alles!$D$1:$AA$208,(MATCH(L275,alles!$C$1:$C$208,0)),0))</f>
        <v>0</v>
      </c>
      <c r="D275" s="367">
        <f>(HLOOKUP(CONCATENATE($B$267,-2),alles!$D$1:$AA$208,(MATCH(L275,alles!$C$1:$C$208,0)),0))</f>
        <v>0</v>
      </c>
      <c r="E275" s="367">
        <f t="shared" si="50"/>
        <v>0</v>
      </c>
      <c r="F275" s="386">
        <f>(HLOOKUP($B$267,'CO2 equivalenten'!$D$4:$P$218,(MATCH(M275,'CO2 equivalenten'!$C$4:$C$218,0)),0))</f>
        <v>4.4099999999999999E-4</v>
      </c>
      <c r="G275" s="387">
        <f t="shared" ref="G275:G276" si="58">C275*F275</f>
        <v>0</v>
      </c>
      <c r="H275" s="387">
        <f t="shared" si="52"/>
        <v>0</v>
      </c>
      <c r="I275" s="387">
        <f t="shared" si="53"/>
        <v>0</v>
      </c>
      <c r="J275" s="251"/>
      <c r="L275" t="s">
        <v>404</v>
      </c>
      <c r="M275" t="s">
        <v>403</v>
      </c>
    </row>
    <row r="276" spans="1:13" x14ac:dyDescent="0.2">
      <c r="A276" s="360" t="s">
        <v>16</v>
      </c>
      <c r="B276" s="360" t="s">
        <v>21</v>
      </c>
      <c r="C276" s="361">
        <f>(HLOOKUP(CONCATENATE($B$267,-1),alles!$D$1:$AA$208,(MATCH(L276,alles!$C$1:$C$208,0)),0))</f>
        <v>0</v>
      </c>
      <c r="D276" s="361">
        <f>(HLOOKUP(CONCATENATE($B$267,-2),alles!$D$1:$AA$208,(MATCH(L276,alles!$C$1:$C$208,0)),0))</f>
        <v>0</v>
      </c>
      <c r="E276" s="361">
        <f t="shared" si="50"/>
        <v>0</v>
      </c>
      <c r="F276" s="388">
        <f>(HLOOKUP($B$267,'CO2 equivalenten'!$D$4:$P$218,(MATCH(M276,'CO2 equivalenten'!$C$4:$C$218,0)),0))</f>
        <v>1.792E-3</v>
      </c>
      <c r="G276" s="389">
        <f t="shared" si="58"/>
        <v>0</v>
      </c>
      <c r="H276" s="389">
        <f t="shared" si="52"/>
        <v>0</v>
      </c>
      <c r="I276" s="389">
        <f t="shared" si="53"/>
        <v>0</v>
      </c>
      <c r="J276" s="251"/>
      <c r="L276" t="s">
        <v>407</v>
      </c>
      <c r="M276" t="s">
        <v>16</v>
      </c>
    </row>
    <row r="277" spans="1:13" x14ac:dyDescent="0.2">
      <c r="A277" s="348" t="s">
        <v>402</v>
      </c>
      <c r="B277" s="348" t="s">
        <v>21</v>
      </c>
      <c r="C277" s="349">
        <f>SUM(C278:C280)</f>
        <v>5640.04</v>
      </c>
      <c r="D277" s="349">
        <f>SUM(D278:D280)</f>
        <v>6499.91</v>
      </c>
      <c r="E277" s="349">
        <f t="shared" si="50"/>
        <v>12139.95</v>
      </c>
      <c r="F277" s="375" t="s">
        <v>401</v>
      </c>
      <c r="G277" s="383">
        <f>SUM(G278:G280)</f>
        <v>15.77519188</v>
      </c>
      <c r="H277" s="383">
        <f>SUM(H278:H280)</f>
        <v>18.18024827</v>
      </c>
      <c r="I277" s="383">
        <f>G277+H277</f>
        <v>33.955440150000001</v>
      </c>
      <c r="J277" s="251"/>
      <c r="L277" t="s">
        <v>294</v>
      </c>
    </row>
    <row r="278" spans="1:13" x14ac:dyDescent="0.2">
      <c r="A278" s="354" t="s">
        <v>14</v>
      </c>
      <c r="B278" s="354" t="s">
        <v>21</v>
      </c>
      <c r="C278" s="355">
        <f>(HLOOKUP(CONCATENATE($B$267,-1),alles!$D$1:$AA$208,(MATCH(L278,alles!$C$1:$C$208,0)),0))</f>
        <v>0</v>
      </c>
      <c r="D278" s="355">
        <f>(HLOOKUP(CONCATENATE($B$267,-2),alles!$D$1:$AA$208,(MATCH(L278,alles!$C$1:$C$208,0)),0))</f>
        <v>0</v>
      </c>
      <c r="E278" s="355">
        <f t="shared" si="50"/>
        <v>0</v>
      </c>
      <c r="F278" s="384">
        <f>(HLOOKUP($B$267,'CO2 equivalenten'!$D$4:$P$218,(MATCH(M278,'CO2 equivalenten'!$C$4:$C$218,0)),0))</f>
        <v>3.251E-3</v>
      </c>
      <c r="G278" s="385">
        <f t="shared" ref="G278:G280" si="59">C278*F278</f>
        <v>0</v>
      </c>
      <c r="H278" s="385">
        <f t="shared" ref="H278:H280" si="60">D278*F278</f>
        <v>0</v>
      </c>
      <c r="I278" s="385">
        <f>G278+H278</f>
        <v>0</v>
      </c>
      <c r="J278" s="251"/>
      <c r="L278" t="s">
        <v>266</v>
      </c>
      <c r="M278" t="s">
        <v>306</v>
      </c>
    </row>
    <row r="279" spans="1:13" x14ac:dyDescent="0.2">
      <c r="A279" s="366" t="s">
        <v>15</v>
      </c>
      <c r="B279" s="366" t="s">
        <v>21</v>
      </c>
      <c r="C279" s="367">
        <f>(HLOOKUP(CONCATENATE($B$267,-1),alles!$D$1:$AA$208,(MATCH(L279,alles!$C$1:$C$208,0)),0))</f>
        <v>5640.04</v>
      </c>
      <c r="D279" s="367">
        <f>(HLOOKUP(CONCATENATE($B$267,-2),alles!$D$1:$AA$208,(MATCH(L279,alles!$C$1:$C$208,0)),0))</f>
        <v>6499.91</v>
      </c>
      <c r="E279" s="367">
        <f t="shared" ref="E279" si="61">C279+D279</f>
        <v>12139.95</v>
      </c>
      <c r="F279" s="386">
        <f>(HLOOKUP($B$267,'CO2 equivalenten'!$D$4:$P$218,(MATCH(M279,'CO2 equivalenten'!$C$4:$C$218,0)),0))</f>
        <v>2.797E-3</v>
      </c>
      <c r="G279" s="387">
        <f t="shared" ref="G279" si="62">C279*F279</f>
        <v>15.77519188</v>
      </c>
      <c r="H279" s="387">
        <f t="shared" ref="H279" si="63">D279*F279</f>
        <v>18.18024827</v>
      </c>
      <c r="I279" s="387">
        <f>G279+H279</f>
        <v>33.955440150000001</v>
      </c>
      <c r="J279" s="251"/>
      <c r="L279" t="s">
        <v>267</v>
      </c>
      <c r="M279" t="s">
        <v>308</v>
      </c>
    </row>
    <row r="280" spans="1:13" x14ac:dyDescent="0.2">
      <c r="A280" s="366" t="s">
        <v>16</v>
      </c>
      <c r="B280" s="366" t="s">
        <v>21</v>
      </c>
      <c r="C280" s="367">
        <f>(HLOOKUP(CONCATENATE($B$267,-1),alles!$D$1:$AA$208,(MATCH(L280,alles!$C$1:$C$208,0)),0))</f>
        <v>0</v>
      </c>
      <c r="D280" s="367">
        <f>(HLOOKUP(CONCATENATE($B$267,-2),alles!$D$1:$AA$208,(MATCH(L280,alles!$C$1:$C$208,0)),0))</f>
        <v>0</v>
      </c>
      <c r="E280" s="367">
        <f t="shared" si="50"/>
        <v>0</v>
      </c>
      <c r="F280" s="386">
        <f>(HLOOKUP($B$267,'CO2 equivalenten'!$D$4:$P$218,(MATCH(M280,'CO2 equivalenten'!$C$4:$C$218,0)),0))</f>
        <v>1.792E-3</v>
      </c>
      <c r="G280" s="387">
        <f t="shared" si="59"/>
        <v>0</v>
      </c>
      <c r="H280" s="387">
        <f t="shared" si="60"/>
        <v>0</v>
      </c>
      <c r="I280" s="387">
        <f>G280+H280</f>
        <v>0</v>
      </c>
      <c r="J280" s="251"/>
      <c r="L280" t="s">
        <v>268</v>
      </c>
      <c r="M280" t="s">
        <v>16</v>
      </c>
    </row>
    <row r="281" spans="1:13" x14ac:dyDescent="0.2">
      <c r="A281" s="348" t="s">
        <v>120</v>
      </c>
      <c r="B281" s="348" t="s">
        <v>21</v>
      </c>
      <c r="C281" s="349">
        <f>(HLOOKUP(CONCATENATE($B$267,-1),alles!$D$1:$AA$208,(MATCH(L281,alles!$C$1:$C$208,0)),0))</f>
        <v>14287</v>
      </c>
      <c r="D281" s="349">
        <f>(HLOOKUP(CONCATENATE($B$267,-2),alles!$D$1:$AA$208,(MATCH(L281,alles!$C$1:$C$208,0)),0))</f>
        <v>13480.4</v>
      </c>
      <c r="E281" s="349">
        <f t="shared" si="50"/>
        <v>27767.4</v>
      </c>
      <c r="F281" s="375">
        <f>(HLOOKUP($B$267,'CO2 equivalenten'!$D$4:$P$218,(MATCH(M211,'CO2 equivalenten'!$C$4:$C$218,0)),0))</f>
        <v>2.5999999999999998E-4</v>
      </c>
      <c r="G281" s="383">
        <f t="shared" ref="G281:G285" si="64">C281*F281</f>
        <v>3.7146199999999996</v>
      </c>
      <c r="H281" s="383">
        <f t="shared" ref="H281:H285" si="65">D281*F281</f>
        <v>3.5049039999999998</v>
      </c>
      <c r="I281" s="383">
        <f t="shared" si="51"/>
        <v>7.2195239999999998</v>
      </c>
      <c r="J281" s="251"/>
      <c r="L281" t="s">
        <v>269</v>
      </c>
      <c r="M281" t="s">
        <v>269</v>
      </c>
    </row>
    <row r="282" spans="1:13" x14ac:dyDescent="0.2">
      <c r="A282" s="348" t="s">
        <v>38</v>
      </c>
      <c r="B282" s="348" t="s">
        <v>21</v>
      </c>
      <c r="C282" s="349">
        <f>(HLOOKUP(CONCATENATE($B$267,-1),alles!$D$1:$AA$208,(MATCH(L282,alles!$C$1:$C$208,0)),0))</f>
        <v>0</v>
      </c>
      <c r="D282" s="349">
        <f>(HLOOKUP(CONCATENATE($B$267,-2),alles!$D$1:$AA$208,(MATCH(L282,alles!$C$1:$C$208,0)),0))</f>
        <v>0</v>
      </c>
      <c r="E282" s="349">
        <f t="shared" si="50"/>
        <v>0</v>
      </c>
      <c r="F282" s="375">
        <f>(HLOOKUP($B$267,'CO2 equivalenten'!$D$4:$P$218,(MATCH(M212,'CO2 equivalenten'!$C$4:$C$218,0)),0))</f>
        <v>2.15E-3</v>
      </c>
      <c r="G282" s="383">
        <f t="shared" si="64"/>
        <v>0</v>
      </c>
      <c r="H282" s="383">
        <f t="shared" si="65"/>
        <v>0</v>
      </c>
      <c r="I282" s="383">
        <f t="shared" si="51"/>
        <v>0</v>
      </c>
      <c r="J282" s="251"/>
      <c r="L282" t="s">
        <v>270</v>
      </c>
      <c r="M282" t="s">
        <v>270</v>
      </c>
    </row>
    <row r="283" spans="1:13" x14ac:dyDescent="0.2">
      <c r="A283" s="348" t="s">
        <v>254</v>
      </c>
      <c r="B283" s="348" t="s">
        <v>288</v>
      </c>
      <c r="C283" s="349">
        <f>(HLOOKUP(CONCATENATE($B$267,-1),alles!$D$1:$AA$208,(MATCH(L283,alles!$C$1:$C$208,0)),0))</f>
        <v>0</v>
      </c>
      <c r="D283" s="349">
        <f>(HLOOKUP(CONCATENATE($B$267,-2),alles!$D$1:$AA$208,(MATCH(L283,alles!$C$1:$C$208,0)),0))</f>
        <v>0</v>
      </c>
      <c r="E283" s="349">
        <f t="shared" si="50"/>
        <v>0</v>
      </c>
      <c r="F283" s="375" t="s">
        <v>289</v>
      </c>
      <c r="G283" s="383">
        <v>0</v>
      </c>
      <c r="H283" s="383">
        <v>0</v>
      </c>
      <c r="I283" s="383">
        <f t="shared" si="51"/>
        <v>0</v>
      </c>
      <c r="J283" s="251"/>
      <c r="L283" t="s">
        <v>295</v>
      </c>
    </row>
    <row r="284" spans="1:13" x14ac:dyDescent="0.2">
      <c r="A284" s="348" t="s">
        <v>283</v>
      </c>
      <c r="B284" s="348" t="s">
        <v>21</v>
      </c>
      <c r="C284" s="349">
        <f>(HLOOKUP(CONCATENATE($B$267,-1),alles!$D$1:$AA$208,(MATCH(L284,alles!$C$1:$C$208,0)),0))</f>
        <v>0</v>
      </c>
      <c r="D284" s="349">
        <f>(HLOOKUP(CONCATENATE($B$267,-2),alles!$D$1:$AA$208,(MATCH(L284,alles!$C$1:$C$208,0)),0))</f>
        <v>0</v>
      </c>
      <c r="E284" s="349">
        <f t="shared" si="50"/>
        <v>0</v>
      </c>
      <c r="F284" s="375">
        <f>(HLOOKUP($B$267,'CO2 equivalenten'!$D$4:$P$218,(MATCH(M214,'CO2 equivalenten'!$C$4:$C$218,0)),0))</f>
        <v>1.725E-3</v>
      </c>
      <c r="G284" s="383">
        <f t="shared" si="64"/>
        <v>0</v>
      </c>
      <c r="H284" s="383">
        <f t="shared" si="65"/>
        <v>0</v>
      </c>
      <c r="I284" s="383">
        <f t="shared" si="51"/>
        <v>0</v>
      </c>
      <c r="J284" s="251"/>
      <c r="L284" t="s">
        <v>301</v>
      </c>
      <c r="M284" t="s">
        <v>296</v>
      </c>
    </row>
    <row r="285" spans="1:13" x14ac:dyDescent="0.2">
      <c r="A285" s="348" t="s">
        <v>12</v>
      </c>
      <c r="B285" s="348" t="s">
        <v>23</v>
      </c>
      <c r="C285" s="349">
        <f>(HLOOKUP(CONCATENATE($B$267,-1),alles!$D$1:$AA$208,(MATCH(L285,alles!$C$1:$C$208,0)),0))</f>
        <v>0</v>
      </c>
      <c r="D285" s="349">
        <f>(HLOOKUP(CONCATENATE($B$267,-2),alles!$D$1:$AA$208,(MATCH(L285,alles!$C$1:$C$208,0)),0))</f>
        <v>0</v>
      </c>
      <c r="E285" s="349">
        <f t="shared" si="50"/>
        <v>0</v>
      </c>
      <c r="F285" s="375">
        <f>(HLOOKUP($B$267,'CO2 equivalenten'!$D$4:$P$218,(MATCH(M215,'CO2 equivalenten'!$C$4:$C$218,0)),0))</f>
        <v>7.0999999999999991E-5</v>
      </c>
      <c r="G285" s="383">
        <f t="shared" si="64"/>
        <v>0</v>
      </c>
      <c r="H285" s="383">
        <f t="shared" si="65"/>
        <v>0</v>
      </c>
      <c r="I285" s="383">
        <f t="shared" si="51"/>
        <v>0</v>
      </c>
      <c r="J285" s="251"/>
      <c r="L285" t="s">
        <v>302</v>
      </c>
      <c r="M285" t="s">
        <v>297</v>
      </c>
    </row>
    <row r="286" spans="1:13" x14ac:dyDescent="0.2">
      <c r="A286" s="352" t="s">
        <v>31</v>
      </c>
      <c r="B286" s="352" t="s">
        <v>289</v>
      </c>
      <c r="C286" s="353" t="s">
        <v>289</v>
      </c>
      <c r="D286" s="353" t="s">
        <v>289</v>
      </c>
      <c r="E286" s="353" t="s">
        <v>289</v>
      </c>
      <c r="F286" s="353" t="s">
        <v>289</v>
      </c>
      <c r="G286" s="380">
        <f>G271+G272+G277+G281+G282+G283+G284+G285</f>
        <v>1038.4863540800002</v>
      </c>
      <c r="H286" s="380">
        <f>H271+H272+H277+H281+H282+H283+H284+H285</f>
        <v>1012.0245879699999</v>
      </c>
      <c r="I286" s="380">
        <f t="shared" si="51"/>
        <v>2050.5109420500003</v>
      </c>
      <c r="J286" s="251"/>
    </row>
    <row r="287" spans="1:13" x14ac:dyDescent="0.2">
      <c r="A287" s="234"/>
      <c r="B287" s="234"/>
      <c r="C287" s="250"/>
      <c r="D287" s="250"/>
      <c r="E287" s="250"/>
      <c r="F287" s="250"/>
      <c r="G287" s="250"/>
      <c r="H287" s="250"/>
      <c r="I287" s="250"/>
      <c r="J287" s="250"/>
    </row>
    <row r="288" spans="1:13" x14ac:dyDescent="0.2">
      <c r="A288" s="372" t="s">
        <v>284</v>
      </c>
      <c r="B288" s="373"/>
      <c r="C288" s="381"/>
      <c r="D288" s="381"/>
      <c r="E288" s="381"/>
      <c r="F288" s="381"/>
      <c r="G288" s="381"/>
      <c r="H288" s="381"/>
      <c r="I288" s="382"/>
      <c r="J288" s="250"/>
    </row>
    <row r="289" spans="1:13" x14ac:dyDescent="0.2">
      <c r="A289" s="348" t="s">
        <v>34</v>
      </c>
      <c r="B289" s="348" t="s">
        <v>23</v>
      </c>
      <c r="C289" s="349">
        <f>SUM(C290:C291)</f>
        <v>51051.37</v>
      </c>
      <c r="D289" s="349">
        <f>SUM(D290:D291)</f>
        <v>56747.67</v>
      </c>
      <c r="E289" s="349">
        <f t="shared" ref="E289:E292" si="66">C289+D289</f>
        <v>107799.04000000001</v>
      </c>
      <c r="F289" s="449" t="s">
        <v>609</v>
      </c>
      <c r="G289" s="351">
        <f>IF(C289&lt;0,0,SUM(G290:G291))</f>
        <v>0.82719189000000004</v>
      </c>
      <c r="H289" s="351">
        <f>IF(D289&lt;0,0,SUM(H290:H291))</f>
        <v>2.9271659900000002</v>
      </c>
      <c r="I289" s="383">
        <f>G289+H289</f>
        <v>3.7543578800000001</v>
      </c>
      <c r="J289" s="251"/>
      <c r="L289" t="s">
        <v>298</v>
      </c>
      <c r="M289" t="s">
        <v>322</v>
      </c>
    </row>
    <row r="290" spans="1:13" x14ac:dyDescent="0.2">
      <c r="A290" s="420" t="s">
        <v>612</v>
      </c>
      <c r="B290" s="354" t="s">
        <v>23</v>
      </c>
      <c r="C290" s="355">
        <f>(HLOOKUP(CONCATENATE($B$267,-1),alles!$D$1:$AA$208,(MATCH(L290,alles!$C$1:$C$208,0)),0))</f>
        <v>49387</v>
      </c>
      <c r="D290" s="355">
        <f>(HLOOKUP(CONCATENATE($B$267,-2),alles!$D$1:$AA$208,(MATCH(L290,alles!$C$1:$C$208,0)),0))</f>
        <v>50858</v>
      </c>
      <c r="E290" s="355">
        <f t="shared" si="66"/>
        <v>100245</v>
      </c>
      <c r="F290" s="384">
        <f>(HLOOKUP($B$267,'CO2 equivalenten'!$D$4:$P$218,(MATCH(M290,'CO2 equivalenten'!$C$4:$C$218,0)),0))</f>
        <v>0</v>
      </c>
      <c r="G290" s="385">
        <f t="shared" ref="G290" si="67">C290*F290</f>
        <v>0</v>
      </c>
      <c r="H290" s="385">
        <f t="shared" ref="H290" si="68">D290*F290</f>
        <v>0</v>
      </c>
      <c r="I290" s="385">
        <f t="shared" ref="I290:I292" si="69">G290+H290</f>
        <v>0</v>
      </c>
      <c r="J290" s="251"/>
      <c r="L290" t="s">
        <v>324</v>
      </c>
      <c r="M290" t="s">
        <v>324</v>
      </c>
    </row>
    <row r="291" spans="1:13" x14ac:dyDescent="0.2">
      <c r="A291" s="360" t="s">
        <v>562</v>
      </c>
      <c r="B291" s="360" t="s">
        <v>23</v>
      </c>
      <c r="C291" s="361">
        <f>(HLOOKUP(CONCATENATE($B$267,-1),alles!$D$1:$AA$208,(MATCH(L291,alles!$C$1:$C$208,0)),0))</f>
        <v>1664.37</v>
      </c>
      <c r="D291" s="361">
        <f>(HLOOKUP(CONCATENATE($B$267,-2),alles!$D$1:$AA$208,(MATCH(L291,alles!$C$1:$C$208,0)),0))</f>
        <v>5889.67</v>
      </c>
      <c r="E291" s="361">
        <f t="shared" si="66"/>
        <v>7554.04</v>
      </c>
      <c r="F291" s="388">
        <f>(HLOOKUP($B$267,'CO2 equivalenten'!$D$4:$P$218,(MATCH(M291,'CO2 equivalenten'!$C$4:$C$218,0)),0))</f>
        <v>4.9700000000000005E-4</v>
      </c>
      <c r="G291" s="389">
        <f t="shared" ref="G291" si="70">C291*F291</f>
        <v>0.82719189000000004</v>
      </c>
      <c r="H291" s="389">
        <f t="shared" ref="H291" si="71">D291*F291</f>
        <v>2.9271659900000002</v>
      </c>
      <c r="I291" s="389">
        <f>G291+H291</f>
        <v>3.7543578800000001</v>
      </c>
      <c r="J291" s="251"/>
      <c r="L291" t="s">
        <v>418</v>
      </c>
      <c r="M291" t="s">
        <v>419</v>
      </c>
    </row>
    <row r="292" spans="1:13" x14ac:dyDescent="0.2">
      <c r="A292" s="352" t="s">
        <v>31</v>
      </c>
      <c r="B292" s="352" t="s">
        <v>23</v>
      </c>
      <c r="C292" s="378">
        <f>C289</f>
        <v>51051.37</v>
      </c>
      <c r="D292" s="378">
        <f>D289</f>
        <v>56747.67</v>
      </c>
      <c r="E292" s="378">
        <f t="shared" si="66"/>
        <v>107799.04000000001</v>
      </c>
      <c r="F292" s="353" t="s">
        <v>309</v>
      </c>
      <c r="G292" s="380">
        <f>G289</f>
        <v>0.82719189000000004</v>
      </c>
      <c r="H292" s="380">
        <f>H289</f>
        <v>2.9271659900000002</v>
      </c>
      <c r="I292" s="380">
        <f t="shared" si="69"/>
        <v>3.7543578800000001</v>
      </c>
      <c r="J292" s="251"/>
    </row>
    <row r="293" spans="1:13" x14ac:dyDescent="0.2">
      <c r="A293" s="234"/>
      <c r="B293" s="234"/>
      <c r="C293" s="250"/>
      <c r="D293" s="250"/>
      <c r="E293" s="250"/>
      <c r="F293" s="250"/>
      <c r="G293" s="250"/>
      <c r="H293" s="250"/>
      <c r="I293" s="250"/>
      <c r="J293" s="250"/>
    </row>
    <row r="294" spans="1:13" x14ac:dyDescent="0.2">
      <c r="A294" s="372" t="s">
        <v>286</v>
      </c>
      <c r="B294" s="373"/>
      <c r="C294" s="381"/>
      <c r="D294" s="381"/>
      <c r="E294" s="381"/>
      <c r="F294" s="381"/>
      <c r="G294" s="381"/>
      <c r="H294" s="381"/>
      <c r="I294" s="382"/>
      <c r="J294" s="250"/>
    </row>
    <row r="295" spans="1:13" x14ac:dyDescent="0.2">
      <c r="A295" s="372" t="s">
        <v>440</v>
      </c>
      <c r="B295" s="373"/>
      <c r="C295" s="381"/>
      <c r="D295" s="381"/>
      <c r="E295" s="381"/>
      <c r="F295" s="381"/>
      <c r="G295" s="381"/>
      <c r="H295" s="381"/>
      <c r="I295" s="382"/>
      <c r="J295" s="250"/>
    </row>
    <row r="296" spans="1:13" ht="51" hidden="1" x14ac:dyDescent="0.2">
      <c r="A296" s="673" t="s">
        <v>442</v>
      </c>
      <c r="B296" s="373"/>
      <c r="C296" s="349">
        <f>(HLOOKUP(CONCATENATE($B$267,-1),alles!$D$1:$AA$208,(MATCH(L296,alles!$C$1:$C$208,0)),0))</f>
        <v>0</v>
      </c>
      <c r="D296" s="349">
        <f>(HLOOKUP(CONCATENATE($B$267,-2),alles!$D$1:$AA$208,(MATCH(L296,alles!$C$1:$C$208,0)),0))</f>
        <v>0</v>
      </c>
      <c r="E296" s="349">
        <f t="shared" ref="E296:E322" si="72">C296+D296</f>
        <v>0</v>
      </c>
      <c r="F296" s="375" t="s">
        <v>289</v>
      </c>
      <c r="G296" s="383">
        <v>0</v>
      </c>
      <c r="H296" s="383">
        <v>0</v>
      </c>
      <c r="I296" s="383">
        <f t="shared" ref="I296:I322" si="73">G296+H296</f>
        <v>0</v>
      </c>
      <c r="J296" s="250"/>
      <c r="L296" t="s">
        <v>468</v>
      </c>
    </row>
    <row r="297" spans="1:13" ht="17" hidden="1" x14ac:dyDescent="0.2">
      <c r="A297" s="673" t="s">
        <v>443</v>
      </c>
      <c r="B297" s="373"/>
      <c r="C297" s="349">
        <f>(HLOOKUP(CONCATENATE($B$267,-1),alles!$D$1:$AA$208,(MATCH(L297,alles!$C$1:$C$208,0)),0))</f>
        <v>0</v>
      </c>
      <c r="D297" s="349">
        <f>(HLOOKUP(CONCATENATE($B$267,-2),alles!$D$1:$AA$208,(MATCH(L297,alles!$C$1:$C$208,0)),0))</f>
        <v>0</v>
      </c>
      <c r="E297" s="349">
        <f t="shared" si="72"/>
        <v>0</v>
      </c>
      <c r="F297" s="375" t="s">
        <v>289</v>
      </c>
      <c r="G297" s="383">
        <v>0</v>
      </c>
      <c r="H297" s="383">
        <v>0</v>
      </c>
      <c r="I297" s="383">
        <f t="shared" si="73"/>
        <v>0</v>
      </c>
      <c r="J297" s="250"/>
      <c r="L297" t="s">
        <v>477</v>
      </c>
    </row>
    <row r="298" spans="1:13" ht="51" hidden="1" x14ac:dyDescent="0.2">
      <c r="A298" s="673" t="s">
        <v>444</v>
      </c>
      <c r="B298" s="373"/>
      <c r="C298" s="349">
        <f>(HLOOKUP(CONCATENATE($B$267,-1),alles!$D$1:$AA$208,(MATCH(L298,alles!$C$1:$C$208,0)),0))</f>
        <v>0</v>
      </c>
      <c r="D298" s="349">
        <f>(HLOOKUP(CONCATENATE($B$267,-2),alles!$D$1:$AA$208,(MATCH(L298,alles!$C$1:$C$208,0)),0))</f>
        <v>0</v>
      </c>
      <c r="E298" s="349">
        <f t="shared" si="72"/>
        <v>0</v>
      </c>
      <c r="F298" s="375" t="s">
        <v>289</v>
      </c>
      <c r="G298" s="383">
        <v>0</v>
      </c>
      <c r="H298" s="383">
        <v>0</v>
      </c>
      <c r="I298" s="383">
        <f t="shared" si="73"/>
        <v>0</v>
      </c>
      <c r="J298" s="250"/>
      <c r="L298" t="s">
        <v>478</v>
      </c>
    </row>
    <row r="299" spans="1:13" ht="34" hidden="1" x14ac:dyDescent="0.2">
      <c r="A299" s="673" t="s">
        <v>446</v>
      </c>
      <c r="B299" s="373"/>
      <c r="C299" s="349">
        <f>(HLOOKUP(CONCATENATE($B$267,-1),alles!$D$1:$AA$208,(MATCH(L299,alles!$C$1:$C$208,0)),0))</f>
        <v>0</v>
      </c>
      <c r="D299" s="349">
        <f>(HLOOKUP(CONCATENATE($B$267,-2),alles!$D$1:$AA$208,(MATCH(L299,alles!$C$1:$C$208,0)),0))</f>
        <v>0</v>
      </c>
      <c r="E299" s="349">
        <f t="shared" si="72"/>
        <v>0</v>
      </c>
      <c r="F299" s="375" t="s">
        <v>289</v>
      </c>
      <c r="G299" s="383">
        <v>0</v>
      </c>
      <c r="H299" s="383">
        <v>0</v>
      </c>
      <c r="I299" s="383">
        <f t="shared" si="73"/>
        <v>0</v>
      </c>
      <c r="J299" s="250"/>
      <c r="L299" t="s">
        <v>483</v>
      </c>
    </row>
    <row r="300" spans="1:13" ht="17" x14ac:dyDescent="0.2">
      <c r="A300" s="672" t="s">
        <v>445</v>
      </c>
      <c r="B300" s="373"/>
      <c r="C300" s="349">
        <f>(HLOOKUP(CONCATENATE($B$267,-1),alles!$D$1:$AA$208,(MATCH(L300,alles!$C$1:$C$208,0)),0))</f>
        <v>40817.86</v>
      </c>
      <c r="D300" s="349">
        <f>(HLOOKUP(CONCATENATE($B$267,-2),alles!$D$1:$AA$208,(MATCH(L300,alles!$C$1:$C$208,0)),0))</f>
        <v>41705.019999999997</v>
      </c>
      <c r="E300" s="349">
        <f t="shared" si="72"/>
        <v>82522.880000000005</v>
      </c>
      <c r="F300" s="375" t="s">
        <v>611</v>
      </c>
      <c r="G300" s="351">
        <f>SUM(G301:G315)</f>
        <v>1814.7314699999999</v>
      </c>
      <c r="H300" s="351">
        <f>SUM(H301:H315)</f>
        <v>1971.3170789999999</v>
      </c>
      <c r="I300" s="351">
        <f t="shared" si="73"/>
        <v>3786.0485490000001</v>
      </c>
      <c r="J300" s="250"/>
      <c r="L300" t="s">
        <v>595</v>
      </c>
    </row>
    <row r="301" spans="1:13" x14ac:dyDescent="0.2">
      <c r="A301" s="354" t="s">
        <v>598</v>
      </c>
      <c r="B301" s="354" t="s">
        <v>68</v>
      </c>
      <c r="C301" s="355">
        <f>(HLOOKUP(CONCATENATE($B$267,-1),alles!$D$1:$AA$208,(MATCH(L301,alles!$C$1:$C$208,0)),0))</f>
        <v>77.959999999999994</v>
      </c>
      <c r="D301" s="355">
        <f>(HLOOKUP(CONCATENATE($B$267,-2),alles!$D$1:$AA$208,(MATCH(L301,alles!$C$1:$C$208,0)),0))</f>
        <v>120.23</v>
      </c>
      <c r="E301" s="355">
        <f t="shared" ref="E301:E307" si="74">C301+D301</f>
        <v>198.19</v>
      </c>
      <c r="F301" s="384">
        <f>(HLOOKUP($B$267,'CO2 equivalenten'!$D$4:$P$218,(MATCH(M301,'CO2 equivalenten'!$C$4:$C$218,0)),0))</f>
        <v>0.14499999999999999</v>
      </c>
      <c r="G301" s="385">
        <f t="shared" ref="G301:G307" si="75">C301*F301</f>
        <v>11.304199999999998</v>
      </c>
      <c r="H301" s="385">
        <f t="shared" ref="H301:H307" si="76">D301*F301</f>
        <v>17.433350000000001</v>
      </c>
      <c r="I301" s="385">
        <f t="shared" ref="I301:I307" si="77">G301+H301</f>
        <v>28.737549999999999</v>
      </c>
      <c r="J301" s="250"/>
      <c r="L301" t="s">
        <v>357</v>
      </c>
      <c r="M301" t="s">
        <v>357</v>
      </c>
    </row>
    <row r="302" spans="1:13" x14ac:dyDescent="0.2">
      <c r="A302" s="366" t="s">
        <v>72</v>
      </c>
      <c r="B302" s="366" t="s">
        <v>67</v>
      </c>
      <c r="C302" s="367">
        <f>(HLOOKUP(CONCATENATE($B$267,-1),alles!$D$1:$AA$208,(MATCH(L302,alles!$C$1:$C$208,0)),0))</f>
        <v>5114.49</v>
      </c>
      <c r="D302" s="367">
        <f>(HLOOKUP(CONCATENATE($B$267,-2),alles!$D$1:$AA$208,(MATCH(L302,alles!$C$1:$C$208,0)),0))</f>
        <v>6270.94</v>
      </c>
      <c r="E302" s="367">
        <f t="shared" si="74"/>
        <v>11385.43</v>
      </c>
      <c r="F302" s="386">
        <f>(HLOOKUP($B$267,'CO2 equivalenten'!$D$4:$P$218,(MATCH(M302,'CO2 equivalenten'!$C$4:$C$218,0)),0))</f>
        <v>2.9000000000000001E-2</v>
      </c>
      <c r="G302" s="387">
        <f t="shared" si="75"/>
        <v>148.32021</v>
      </c>
      <c r="H302" s="387">
        <f t="shared" si="76"/>
        <v>181.85726</v>
      </c>
      <c r="I302" s="387">
        <f t="shared" si="77"/>
        <v>330.17746999999997</v>
      </c>
      <c r="J302" s="250"/>
      <c r="L302" t="s">
        <v>363</v>
      </c>
      <c r="M302" t="s">
        <v>363</v>
      </c>
    </row>
    <row r="303" spans="1:13" x14ac:dyDescent="0.2">
      <c r="A303" s="366" t="s">
        <v>75</v>
      </c>
      <c r="B303" s="366" t="s">
        <v>67</v>
      </c>
      <c r="C303" s="367">
        <f>(HLOOKUP(CONCATENATE($B$267,-1),alles!$D$1:$AA$208,(MATCH(L303,alles!$C$1:$C$208,0)),0))</f>
        <v>2465.0500000000002</v>
      </c>
      <c r="D303" s="367">
        <f>(HLOOKUP(CONCATENATE($B$267,-2),alles!$D$1:$AA$208,(MATCH(L303,alles!$C$1:$C$208,0)),0))</f>
        <v>2755.27</v>
      </c>
      <c r="E303" s="367">
        <f t="shared" si="74"/>
        <v>5220.32</v>
      </c>
      <c r="F303" s="386">
        <f>(HLOOKUP($B$267,'CO2 equivalenten'!$D$4:$P$218,(MATCH(M303,'CO2 equivalenten'!$C$4:$C$218,0)),0))</f>
        <v>7.4999999999999997E-2</v>
      </c>
      <c r="G303" s="387">
        <f t="shared" si="75"/>
        <v>184.87875</v>
      </c>
      <c r="H303" s="387">
        <f t="shared" si="76"/>
        <v>206.64525</v>
      </c>
      <c r="I303" s="387">
        <f t="shared" si="77"/>
        <v>391.524</v>
      </c>
      <c r="J303" s="250"/>
      <c r="L303" t="s">
        <v>364</v>
      </c>
      <c r="M303" t="s">
        <v>364</v>
      </c>
    </row>
    <row r="304" spans="1:13" x14ac:dyDescent="0.2">
      <c r="A304" s="366" t="s">
        <v>76</v>
      </c>
      <c r="B304" s="366" t="s">
        <v>73</v>
      </c>
      <c r="C304" s="367">
        <f>(HLOOKUP(CONCATENATE($B$267,-1),alles!$D$1:$AA$208,(MATCH(L304,alles!$C$1:$C$208,0)),0))</f>
        <v>12747.83</v>
      </c>
      <c r="D304" s="367">
        <f>(HLOOKUP(CONCATENATE($B$267,-2),alles!$D$1:$AA$208,(MATCH(L304,alles!$C$1:$C$208,0)),0))</f>
        <v>13009.31</v>
      </c>
      <c r="E304" s="367">
        <f t="shared" si="74"/>
        <v>25757.14</v>
      </c>
      <c r="F304" s="386">
        <f>(HLOOKUP($B$267,'CO2 equivalenten'!$D$4:$P$218,(MATCH(M304,'CO2 equivalenten'!$C$4:$C$218,0)),0))</f>
        <v>0</v>
      </c>
      <c r="G304" s="387">
        <f t="shared" si="75"/>
        <v>0</v>
      </c>
      <c r="H304" s="387">
        <f t="shared" si="76"/>
        <v>0</v>
      </c>
      <c r="I304" s="387">
        <f t="shared" si="77"/>
        <v>0</v>
      </c>
      <c r="J304" s="250"/>
      <c r="L304" t="s">
        <v>275</v>
      </c>
      <c r="M304" t="s">
        <v>275</v>
      </c>
    </row>
    <row r="305" spans="1:13" x14ac:dyDescent="0.2">
      <c r="A305" s="366" t="s">
        <v>599</v>
      </c>
      <c r="B305" s="366" t="s">
        <v>67</v>
      </c>
      <c r="C305" s="367">
        <f>(HLOOKUP(CONCATENATE($B$267,-1),alles!$D$1:$AA$208,(MATCH(L305,alles!$C$1:$C$208,0)),0))</f>
        <v>21.37</v>
      </c>
      <c r="D305" s="367">
        <f>(HLOOKUP(CONCATENATE($B$267,-2),alles!$D$1:$AA$208,(MATCH(L305,alles!$C$1:$C$208,0)),0))</f>
        <v>42.76</v>
      </c>
      <c r="E305" s="367">
        <f t="shared" si="74"/>
        <v>64.13</v>
      </c>
      <c r="F305" s="386">
        <f>(HLOOKUP($B$267,'CO2 equivalenten'!$D$4:$P$218,(MATCH(M305,'CO2 equivalenten'!$C$4:$C$218,0)),0))</f>
        <v>7.4999999999999997E-2</v>
      </c>
      <c r="G305" s="387">
        <f t="shared" si="75"/>
        <v>1.6027500000000001</v>
      </c>
      <c r="H305" s="387">
        <f t="shared" si="76"/>
        <v>3.2069999999999999</v>
      </c>
      <c r="I305" s="387">
        <f t="shared" si="77"/>
        <v>4.8097500000000002</v>
      </c>
      <c r="J305" s="250"/>
      <c r="L305" t="s">
        <v>365</v>
      </c>
      <c r="M305" t="s">
        <v>365</v>
      </c>
    </row>
    <row r="306" spans="1:13" x14ac:dyDescent="0.2">
      <c r="A306" s="366" t="s">
        <v>80</v>
      </c>
      <c r="B306" s="366" t="s">
        <v>68</v>
      </c>
      <c r="C306" s="367">
        <f>(HLOOKUP(CONCATENATE($B$267,-1),alles!$D$1:$AA$208,(MATCH(L306,alles!$C$1:$C$208,0)),0))</f>
        <v>87.44</v>
      </c>
      <c r="D306" s="367">
        <f>(HLOOKUP(CONCATENATE($B$267,-2),alles!$D$1:$AA$208,(MATCH(L306,alles!$C$1:$C$208,0)),0))</f>
        <v>86.01</v>
      </c>
      <c r="E306" s="367">
        <f t="shared" si="74"/>
        <v>173.45</v>
      </c>
      <c r="F306" s="386">
        <f>(HLOOKUP($B$267,'CO2 equivalenten'!$D$4:$P$218,(MATCH(M306,'CO2 equivalenten'!$C$4:$C$218,0)),0))</f>
        <v>2.573</v>
      </c>
      <c r="G306" s="387">
        <f t="shared" si="75"/>
        <v>224.98311999999999</v>
      </c>
      <c r="H306" s="387">
        <f t="shared" si="76"/>
        <v>221.30373</v>
      </c>
      <c r="I306" s="387">
        <f t="shared" si="77"/>
        <v>446.28684999999996</v>
      </c>
      <c r="J306" s="250"/>
      <c r="L306" t="s">
        <v>277</v>
      </c>
      <c r="M306" t="s">
        <v>277</v>
      </c>
    </row>
    <row r="307" spans="1:13" x14ac:dyDescent="0.2">
      <c r="A307" s="366" t="s">
        <v>83</v>
      </c>
      <c r="B307" s="366" t="s">
        <v>68</v>
      </c>
      <c r="C307" s="367">
        <f>(HLOOKUP(CONCATENATE($B$267,-1),alles!$D$1:$AA$208,(MATCH(L307,alles!$C$1:$C$208,0)),0))</f>
        <v>148.69999999999999</v>
      </c>
      <c r="D307" s="367">
        <f>(HLOOKUP(CONCATENATE($B$267,-2),alles!$D$1:$AA$208,(MATCH(L307,alles!$C$1:$C$208,0)),0))</f>
        <v>166.02</v>
      </c>
      <c r="E307" s="367">
        <f t="shared" si="74"/>
        <v>314.72000000000003</v>
      </c>
      <c r="F307" s="386">
        <f>(HLOOKUP($B$267,'CO2 equivalenten'!$D$4:$P$218,(MATCH(M307,'CO2 equivalenten'!$C$4:$C$218,0)),0))</f>
        <v>0.2</v>
      </c>
      <c r="G307" s="387">
        <f t="shared" si="75"/>
        <v>29.74</v>
      </c>
      <c r="H307" s="387">
        <f t="shared" si="76"/>
        <v>33.204000000000001</v>
      </c>
      <c r="I307" s="387">
        <f t="shared" si="77"/>
        <v>62.944000000000003</v>
      </c>
      <c r="J307" s="250"/>
      <c r="L307" t="s">
        <v>278</v>
      </c>
      <c r="M307" t="s">
        <v>278</v>
      </c>
    </row>
    <row r="308" spans="1:13" x14ac:dyDescent="0.2">
      <c r="A308" s="366" t="s">
        <v>84</v>
      </c>
      <c r="B308" s="366" t="s">
        <v>68</v>
      </c>
      <c r="C308" s="367">
        <f>(HLOOKUP(CONCATENATE($B$267,-1),alles!$D$1:$AA$208,(MATCH(L308,alles!$C$1:$C$208,0)),0))</f>
        <v>202.61</v>
      </c>
      <c r="D308" s="367">
        <f>(HLOOKUP(CONCATENATE($B$267,-2),alles!$D$1:$AA$208,(MATCH(L308,alles!$C$1:$C$208,0)),0))</f>
        <v>187.85</v>
      </c>
      <c r="E308" s="367">
        <f t="shared" si="72"/>
        <v>390.46000000000004</v>
      </c>
      <c r="F308" s="386">
        <f>(HLOOKUP($B$267,'CO2 equivalenten'!$D$4:$P$218,(MATCH(M308,'CO2 equivalenten'!$C$4:$C$218,0)),0))</f>
        <v>0.32400000000000001</v>
      </c>
      <c r="G308" s="387">
        <f t="shared" ref="G308:G311" si="78">C308*F308</f>
        <v>65.64564</v>
      </c>
      <c r="H308" s="387">
        <f t="shared" ref="H308:H311" si="79">D308*F308</f>
        <v>60.863399999999999</v>
      </c>
      <c r="I308" s="387">
        <f t="shared" si="73"/>
        <v>126.50904</v>
      </c>
      <c r="J308" s="250"/>
      <c r="L308" t="s">
        <v>279</v>
      </c>
      <c r="M308" t="s">
        <v>279</v>
      </c>
    </row>
    <row r="309" spans="1:13" x14ac:dyDescent="0.2">
      <c r="A309" s="366" t="s">
        <v>85</v>
      </c>
      <c r="B309" s="366" t="s">
        <v>86</v>
      </c>
      <c r="C309" s="367">
        <f>(HLOOKUP(CONCATENATE($B$267,-1),alles!$D$1:$AA$208,(MATCH(L309,alles!$C$1:$C$208,0)),0))</f>
        <v>2241.67</v>
      </c>
      <c r="D309" s="367">
        <f>(HLOOKUP(CONCATENATE($B$267,-2),alles!$D$1:$AA$208,(MATCH(L309,alles!$C$1:$C$208,0)),0))</f>
        <v>1918.9</v>
      </c>
      <c r="E309" s="367">
        <f t="shared" si="72"/>
        <v>4160.57</v>
      </c>
      <c r="F309" s="386">
        <f>(HLOOKUP($B$267,'CO2 equivalenten'!$D$4:$P$218,(MATCH(M309,'CO2 equivalenten'!$C$4:$C$218,0)),0))</f>
        <v>0</v>
      </c>
      <c r="G309" s="387">
        <f t="shared" si="78"/>
        <v>0</v>
      </c>
      <c r="H309" s="387">
        <f t="shared" si="79"/>
        <v>0</v>
      </c>
      <c r="I309" s="387">
        <f t="shared" si="73"/>
        <v>0</v>
      </c>
      <c r="J309" s="250"/>
      <c r="L309" t="s">
        <v>367</v>
      </c>
      <c r="M309" t="s">
        <v>367</v>
      </c>
    </row>
    <row r="310" spans="1:13" x14ac:dyDescent="0.2">
      <c r="A310" s="366" t="s">
        <v>89</v>
      </c>
      <c r="B310" s="366" t="s">
        <v>68</v>
      </c>
      <c r="C310" s="367">
        <f>(HLOOKUP(CONCATENATE($B$267,-1),alles!$D$1:$AA$208,(MATCH(L310,alles!$C$1:$C$208,0)),0))</f>
        <v>41.94</v>
      </c>
      <c r="D310" s="367">
        <f>(HLOOKUP(CONCATENATE($B$267,-2),alles!$D$1:$AA$208,(MATCH(L310,alles!$C$1:$C$208,0)),0))</f>
        <v>47.28</v>
      </c>
      <c r="E310" s="367">
        <f t="shared" ref="E310:E311" si="80">C310+D310</f>
        <v>89.22</v>
      </c>
      <c r="F310" s="386">
        <f>(HLOOKUP($B$267,'CO2 equivalenten'!$D$4:$P$218,(MATCH(M310,'CO2 equivalenten'!$C$4:$C$218,0)),0))</f>
        <v>1.593</v>
      </c>
      <c r="G310" s="387">
        <f t="shared" si="78"/>
        <v>66.810419999999993</v>
      </c>
      <c r="H310" s="387">
        <f t="shared" si="79"/>
        <v>75.317040000000006</v>
      </c>
      <c r="I310" s="387">
        <f t="shared" ref="I310:I311" si="81">G310+H310</f>
        <v>142.12745999999999</v>
      </c>
      <c r="J310" s="250"/>
      <c r="L310" t="s">
        <v>369</v>
      </c>
      <c r="M310" t="s">
        <v>369</v>
      </c>
    </row>
    <row r="311" spans="1:13" x14ac:dyDescent="0.2">
      <c r="A311" s="366" t="s">
        <v>90</v>
      </c>
      <c r="B311" s="366" t="s">
        <v>68</v>
      </c>
      <c r="C311" s="367">
        <f>(HLOOKUP(CONCATENATE($B$267,-1),alles!$D$1:$AA$208,(MATCH(L311,alles!$C$1:$C$208,0)),0))</f>
        <v>23</v>
      </c>
      <c r="D311" s="367">
        <f>(HLOOKUP(CONCATENATE($B$267,-2),alles!$D$1:$AA$208,(MATCH(L311,alles!$C$1:$C$208,0)),0))</f>
        <v>20.6</v>
      </c>
      <c r="E311" s="367">
        <f t="shared" si="80"/>
        <v>43.6</v>
      </c>
      <c r="F311" s="386">
        <f>(HLOOKUP($B$267,'CO2 equivalenten'!$D$4:$P$218,(MATCH(M311,'CO2 equivalenten'!$C$4:$C$218,0)),0))</f>
        <v>2.573</v>
      </c>
      <c r="G311" s="387">
        <f t="shared" si="78"/>
        <v>59.179000000000002</v>
      </c>
      <c r="H311" s="387">
        <f t="shared" si="79"/>
        <v>53.003800000000005</v>
      </c>
      <c r="I311" s="387">
        <f t="shared" si="81"/>
        <v>112.18280000000001</v>
      </c>
      <c r="J311" s="250"/>
      <c r="L311" t="s">
        <v>372</v>
      </c>
      <c r="M311" t="s">
        <v>372</v>
      </c>
    </row>
    <row r="312" spans="1:13" x14ac:dyDescent="0.2">
      <c r="A312" s="366" t="s">
        <v>92</v>
      </c>
      <c r="B312" s="366" t="s">
        <v>82</v>
      </c>
      <c r="C312" s="367">
        <f>(HLOOKUP(CONCATENATE($B$267,-1),alles!$D$1:$AA$208,(MATCH(L312,alles!$C$1:$C$208,0)),0))</f>
        <v>1955.32</v>
      </c>
      <c r="D312" s="367">
        <f>(HLOOKUP(CONCATENATE($B$267,-2),alles!$D$1:$AA$208,(MATCH(L312,alles!$C$1:$C$208,0)),0))</f>
        <v>2629.19</v>
      </c>
      <c r="E312" s="367">
        <f t="shared" ref="E312:E313" si="82">C312+D312</f>
        <v>4584.51</v>
      </c>
      <c r="F312" s="386">
        <f>(HLOOKUP($B$267,'CO2 equivalenten'!$D$4:$P$218,(MATCH(M312,'CO2 equivalenten'!$C$4:$C$218,0)),0))</f>
        <v>8.9499999999999996E-2</v>
      </c>
      <c r="G312" s="387">
        <f t="shared" ref="G312:G313" si="83">C312*F312</f>
        <v>175.00113999999999</v>
      </c>
      <c r="H312" s="387">
        <f t="shared" ref="H312:H313" si="84">D312*F312</f>
        <v>235.31250499999999</v>
      </c>
      <c r="I312" s="387">
        <f t="shared" ref="I312:I313" si="85">G312+H312</f>
        <v>410.31364499999995</v>
      </c>
      <c r="J312" s="250"/>
      <c r="L312" t="s">
        <v>374</v>
      </c>
      <c r="M312" t="s">
        <v>374</v>
      </c>
    </row>
    <row r="313" spans="1:13" x14ac:dyDescent="0.2">
      <c r="A313" s="366" t="s">
        <v>274</v>
      </c>
      <c r="B313" s="366" t="s">
        <v>68</v>
      </c>
      <c r="C313" s="367">
        <f>(HLOOKUP(CONCATENATE($B$267,-1),alles!$D$1:$AA$208,(MATCH(L313,alles!$C$1:$C$208,0)),0))</f>
        <v>1116.21</v>
      </c>
      <c r="D313" s="367">
        <f>(HLOOKUP(CONCATENATE($B$267,-2),alles!$D$1:$AA$208,(MATCH(L313,alles!$C$1:$C$208,0)),0))</f>
        <v>1172.93</v>
      </c>
      <c r="E313" s="367">
        <f t="shared" si="82"/>
        <v>2289.1400000000003</v>
      </c>
      <c r="F313" s="386">
        <f>(HLOOKUP($B$267,'CO2 equivalenten'!$D$4:$P$218,(MATCH(M313,'CO2 equivalenten'!$C$4:$C$218,0)),0))</f>
        <v>0.67600000000000005</v>
      </c>
      <c r="G313" s="387">
        <f t="shared" si="83"/>
        <v>754.55796000000009</v>
      </c>
      <c r="H313" s="387">
        <f t="shared" si="84"/>
        <v>792.90068000000008</v>
      </c>
      <c r="I313" s="387">
        <f t="shared" si="85"/>
        <v>1547.4586400000003</v>
      </c>
      <c r="J313" s="250"/>
      <c r="L313" t="s">
        <v>281</v>
      </c>
      <c r="M313" t="s">
        <v>281</v>
      </c>
    </row>
    <row r="314" spans="1:13" x14ac:dyDescent="0.2">
      <c r="A314" s="366" t="s">
        <v>95</v>
      </c>
      <c r="B314" s="366" t="s">
        <v>600</v>
      </c>
      <c r="C314" s="367">
        <f>(HLOOKUP(CONCATENATE($B$267,-1),alles!$D$1:$AA$208,(MATCH(L314,alles!$C$1:$C$208,0)),0))</f>
        <v>12876.15</v>
      </c>
      <c r="D314" s="367">
        <f>(HLOOKUP(CONCATENATE($B$267,-2),alles!$D$1:$AA$208,(MATCH(L314,alles!$C$1:$C$208,0)),0))</f>
        <v>12537.37</v>
      </c>
      <c r="E314" s="367">
        <f t="shared" si="72"/>
        <v>25413.52</v>
      </c>
      <c r="F314" s="386">
        <f>(HLOOKUP($B$267,'CO2 equivalenten'!$D$4:$P$218,(MATCH(M314,'CO2 equivalenten'!$C$4:$C$218,0)),0))</f>
        <v>7.1999999999999998E-3</v>
      </c>
      <c r="G314" s="387">
        <f t="shared" ref="G314" si="86">C314*F314</f>
        <v>92.708279999999988</v>
      </c>
      <c r="H314" s="387">
        <f t="shared" ref="H314" si="87">D314*F314</f>
        <v>90.269064</v>
      </c>
      <c r="I314" s="387">
        <f t="shared" si="73"/>
        <v>182.97734399999999</v>
      </c>
      <c r="J314" s="250"/>
      <c r="L314" t="s">
        <v>282</v>
      </c>
      <c r="M314" t="s">
        <v>282</v>
      </c>
    </row>
    <row r="315" spans="1:13" x14ac:dyDescent="0.2">
      <c r="A315" s="360" t="s">
        <v>400</v>
      </c>
      <c r="B315" s="360" t="s">
        <v>47</v>
      </c>
      <c r="C315" s="367">
        <f>(HLOOKUP(CONCATENATE($B$267,-1),alles!$D$1:$AA$208,(MATCH(L315,alles!$C$1:$C$208,0)),0))</f>
        <v>1698.12</v>
      </c>
      <c r="D315" s="367">
        <f>(HLOOKUP(CONCATENATE($B$267,-2),alles!$D$1:$AA$208,(MATCH(L315,alles!$C$1:$C$208,0)),0))</f>
        <v>740.36</v>
      </c>
      <c r="E315" s="367">
        <f t="shared" ref="E315" si="88">C315+D315</f>
        <v>2438.48</v>
      </c>
      <c r="F315" s="386">
        <f>(HLOOKUP($B$267,'CO2 equivalenten'!$D$4:$P$218,(MATCH(M315,'CO2 equivalenten'!$C$4:$C$218,0)),0))</f>
        <v>0</v>
      </c>
      <c r="G315" s="387">
        <f t="shared" ref="G315" si="89">C315*F315</f>
        <v>0</v>
      </c>
      <c r="H315" s="387">
        <f t="shared" ref="H315" si="90">D315*F315</f>
        <v>0</v>
      </c>
      <c r="I315" s="387">
        <f t="shared" ref="I315" si="91">G315+H315</f>
        <v>0</v>
      </c>
      <c r="J315" s="250"/>
      <c r="L315" t="s">
        <v>380</v>
      </c>
      <c r="M315" t="s">
        <v>380</v>
      </c>
    </row>
    <row r="316" spans="1:13" ht="17" x14ac:dyDescent="0.2">
      <c r="A316" s="672" t="s">
        <v>9</v>
      </c>
      <c r="B316" s="373"/>
      <c r="C316" s="349">
        <f>(HLOOKUP(CONCATENATE($B$267,-1),alles!$D$1:$AA$208,(MATCH(L316,alles!$C$1:$C$208,0)),0))</f>
        <v>173910</v>
      </c>
      <c r="D316" s="349">
        <f>(HLOOKUP(CONCATENATE($B$267,-2),alles!$D$1:$AA$208,(MATCH(L316,alles!$C$1:$C$208,0)),0))</f>
        <v>195377.5</v>
      </c>
      <c r="E316" s="349">
        <f t="shared" si="72"/>
        <v>369287.5</v>
      </c>
      <c r="F316" s="375" t="s">
        <v>401</v>
      </c>
      <c r="G316" s="383">
        <f>SUM(G317:G321)</f>
        <v>18.704625</v>
      </c>
      <c r="H316" s="383">
        <f>SUM(H317:H321)</f>
        <v>21.294210000000003</v>
      </c>
      <c r="I316" s="383">
        <f t="shared" si="73"/>
        <v>39.998835</v>
      </c>
      <c r="J316" s="250"/>
      <c r="L316" t="s">
        <v>299</v>
      </c>
    </row>
    <row r="317" spans="1:13" ht="29" x14ac:dyDescent="0.2">
      <c r="A317" s="675" t="s">
        <v>596</v>
      </c>
      <c r="B317" s="354" t="s">
        <v>21</v>
      </c>
      <c r="C317" s="355">
        <f>(HLOOKUP(CONCATENATE($B$267,-1),alles!$D$1:$AA$208,(MATCH(L317,alles!$C$1:$C$208,0)),0))</f>
        <v>0</v>
      </c>
      <c r="D317" s="355">
        <f>(HLOOKUP(CONCATENATE($B$267,-2),alles!$D$1:$AA$208,(MATCH(L317,alles!$C$1:$C$208,0)),0))</f>
        <v>0</v>
      </c>
      <c r="E317" s="355">
        <f t="shared" si="72"/>
        <v>0</v>
      </c>
      <c r="F317" s="384">
        <f>(HLOOKUP($B$267,'CO2 equivalenten'!$D$4:$P$218,(MATCH(M317,'CO2 equivalenten'!$C$4:$C$218,0)),0))</f>
        <v>1.9100000000000001E-4</v>
      </c>
      <c r="G317" s="385">
        <f t="shared" ref="G317:G318" si="92">C317*F317</f>
        <v>0</v>
      </c>
      <c r="H317" s="385">
        <f t="shared" ref="H317:H318" si="93">D317*F317</f>
        <v>0</v>
      </c>
      <c r="I317" s="385">
        <f t="shared" si="73"/>
        <v>0</v>
      </c>
      <c r="J317" s="250"/>
      <c r="L317" t="s">
        <v>555</v>
      </c>
      <c r="M317" t="s">
        <v>310</v>
      </c>
    </row>
    <row r="318" spans="1:13" ht="29" x14ac:dyDescent="0.2">
      <c r="A318" s="676" t="s">
        <v>597</v>
      </c>
      <c r="B318" s="366" t="s">
        <v>21</v>
      </c>
      <c r="C318" s="367">
        <f>(HLOOKUP(CONCATENATE($B$267,-1),alles!$D$1:$AA$208,(MATCH(L318,alles!$C$1:$C$208,0)),0))</f>
        <v>30225</v>
      </c>
      <c r="D318" s="367">
        <f>(HLOOKUP(CONCATENATE($B$267,-2),alles!$D$1:$AA$208,(MATCH(L318,alles!$C$1:$C$208,0)),0))</f>
        <v>36735</v>
      </c>
      <c r="E318" s="367">
        <f t="shared" si="72"/>
        <v>66960</v>
      </c>
      <c r="F318" s="386">
        <f>(HLOOKUP($B$267,'CO2 equivalenten'!$D$4:$P$218,(MATCH(M318,'CO2 equivalenten'!$C$4:$C$218,0)),0))</f>
        <v>1.9100000000000001E-4</v>
      </c>
      <c r="G318" s="387">
        <f t="shared" si="92"/>
        <v>5.7729750000000006</v>
      </c>
      <c r="H318" s="387">
        <f t="shared" si="93"/>
        <v>7.0163850000000005</v>
      </c>
      <c r="I318" s="387">
        <f t="shared" si="73"/>
        <v>12.789360000000002</v>
      </c>
      <c r="J318" s="250"/>
      <c r="L318" t="s">
        <v>556</v>
      </c>
      <c r="M318" t="s">
        <v>310</v>
      </c>
    </row>
    <row r="319" spans="1:13" x14ac:dyDescent="0.2">
      <c r="A319" s="676" t="s">
        <v>15</v>
      </c>
      <c r="B319" s="366" t="s">
        <v>21</v>
      </c>
      <c r="C319" s="367">
        <f>(HLOOKUP(CONCATENATE($B$267,-1),alles!$D$1:$AA$208,(MATCH(L319,alles!$C$1:$C$208,0)),0))</f>
        <v>71842.5</v>
      </c>
      <c r="D319" s="367">
        <f>(HLOOKUP(CONCATENATE($B$267,-2),alles!$D$1:$AA$208,(MATCH(L319,alles!$C$1:$C$208,0)),0))</f>
        <v>79321.25</v>
      </c>
      <c r="E319" s="367">
        <f t="shared" si="72"/>
        <v>151163.75</v>
      </c>
      <c r="F319" s="386">
        <f>(HLOOKUP($B$267,'CO2 equivalenten'!$D$4:$P$218,(MATCH(M319,'CO2 equivalenten'!$C$4:$C$218,0)),0))</f>
        <v>1.95E-4</v>
      </c>
      <c r="G319" s="387">
        <v>0</v>
      </c>
      <c r="H319" s="387">
        <v>0</v>
      </c>
      <c r="I319" s="387">
        <f t="shared" si="73"/>
        <v>0</v>
      </c>
      <c r="J319" s="250"/>
      <c r="L319" t="s">
        <v>331</v>
      </c>
      <c r="M319" t="s">
        <v>331</v>
      </c>
    </row>
    <row r="320" spans="1:13" x14ac:dyDescent="0.2">
      <c r="A320" s="676" t="s">
        <v>14</v>
      </c>
      <c r="B320" s="366" t="s">
        <v>21</v>
      </c>
      <c r="C320" s="367">
        <f>(HLOOKUP(CONCATENATE($B$267,-1),alles!$D$1:$AA$208,(MATCH(L320,alles!$C$1:$C$208,0)),0))</f>
        <v>71842.5</v>
      </c>
      <c r="D320" s="367">
        <f>(HLOOKUP(CONCATENATE($B$267,-2),alles!$D$1:$AA$208,(MATCH(L320,alles!$C$1:$C$208,0)),0))</f>
        <v>79321.25</v>
      </c>
      <c r="E320" s="367">
        <f t="shared" si="72"/>
        <v>151163.75</v>
      </c>
      <c r="F320" s="386">
        <f>(HLOOKUP($B$267,'CO2 equivalenten'!$D$4:$P$218,(MATCH(M320,'CO2 equivalenten'!$C$4:$C$218,0)),0))</f>
        <v>1.8000000000000001E-4</v>
      </c>
      <c r="G320" s="387">
        <f t="shared" ref="G320:G321" si="94">C320*F320</f>
        <v>12.931650000000001</v>
      </c>
      <c r="H320" s="387">
        <f t="shared" ref="H320:H321" si="95">D320*F320</f>
        <v>14.277825000000002</v>
      </c>
      <c r="I320" s="387">
        <f t="shared" si="73"/>
        <v>27.209475000000005</v>
      </c>
      <c r="J320" s="250"/>
      <c r="L320" t="s">
        <v>332</v>
      </c>
      <c r="M320" t="s">
        <v>332</v>
      </c>
    </row>
    <row r="321" spans="1:13" x14ac:dyDescent="0.2">
      <c r="A321" s="677" t="s">
        <v>16</v>
      </c>
      <c r="B321" s="366" t="s">
        <v>21</v>
      </c>
      <c r="C321" s="361">
        <f>(HLOOKUP(CONCATENATE($B$267,-1),alles!$D$1:$AA$208,(MATCH(L321,alles!$C$1:$C$208,0)),0))</f>
        <v>0</v>
      </c>
      <c r="D321" s="361">
        <f>(HLOOKUP(CONCATENATE($B$267,-2),alles!$D$1:$AA$208,(MATCH(L321,alles!$C$1:$C$208,0)),0))</f>
        <v>0</v>
      </c>
      <c r="E321" s="361">
        <f t="shared" si="72"/>
        <v>0</v>
      </c>
      <c r="F321" s="388">
        <f>(HLOOKUP($B$267,'CO2 equivalenten'!$D$4:$P$218,(MATCH(M321,'CO2 equivalenten'!$C$4:$C$218,0)),0))</f>
        <v>1.8100000000000001E-4</v>
      </c>
      <c r="G321" s="389">
        <f t="shared" si="94"/>
        <v>0</v>
      </c>
      <c r="H321" s="389">
        <f t="shared" si="95"/>
        <v>0</v>
      </c>
      <c r="I321" s="389">
        <f t="shared" si="73"/>
        <v>0</v>
      </c>
      <c r="J321" s="250"/>
      <c r="L321" t="s">
        <v>333</v>
      </c>
      <c r="M321" t="s">
        <v>333</v>
      </c>
    </row>
    <row r="322" spans="1:13" ht="17" hidden="1" x14ac:dyDescent="0.2">
      <c r="A322" s="673" t="s">
        <v>459</v>
      </c>
      <c r="B322" s="373"/>
      <c r="C322" s="349">
        <f>(HLOOKUP(CONCATENATE($B$267,-1),alles!$D$1:$AA$208,(MATCH(L322,alles!$C$1:$C$208,0)),0))</f>
        <v>0</v>
      </c>
      <c r="D322" s="349">
        <f>(HLOOKUP(CONCATENATE($B$267,-2),alles!$D$1:$AA$208,(MATCH(L322,alles!$C$1:$C$208,0)),0))</f>
        <v>0</v>
      </c>
      <c r="E322" s="349">
        <f t="shared" si="72"/>
        <v>0</v>
      </c>
      <c r="F322" s="375" t="s">
        <v>289</v>
      </c>
      <c r="G322" s="383">
        <v>0</v>
      </c>
      <c r="H322" s="383">
        <v>0</v>
      </c>
      <c r="I322" s="383">
        <f t="shared" si="73"/>
        <v>0</v>
      </c>
      <c r="J322" s="250"/>
      <c r="L322" t="s">
        <v>488</v>
      </c>
    </row>
    <row r="323" spans="1:13" ht="17" x14ac:dyDescent="0.2">
      <c r="A323" s="678" t="s">
        <v>455</v>
      </c>
      <c r="B323" s="352" t="s">
        <v>289</v>
      </c>
      <c r="C323" s="353" t="s">
        <v>289</v>
      </c>
      <c r="D323" s="353" t="s">
        <v>289</v>
      </c>
      <c r="E323" s="353" t="s">
        <v>289</v>
      </c>
      <c r="F323" s="353" t="s">
        <v>289</v>
      </c>
      <c r="G323" s="450">
        <f>G296+G297+G298+G299+G300+G316+G322</f>
        <v>1833.436095</v>
      </c>
      <c r="H323" s="450">
        <f t="shared" ref="H323:I323" si="96">H296+H297+H298+H299+H300+H316+H322</f>
        <v>1992.6112889999999</v>
      </c>
      <c r="I323" s="450">
        <f t="shared" si="96"/>
        <v>3826.047384</v>
      </c>
      <c r="J323" s="250"/>
    </row>
    <row r="324" spans="1:13" x14ac:dyDescent="0.2">
      <c r="A324" s="678"/>
      <c r="B324" s="373"/>
      <c r="C324" s="376"/>
      <c r="D324" s="376"/>
      <c r="E324" s="376"/>
      <c r="F324" s="381"/>
      <c r="G324" s="679"/>
      <c r="H324" s="679"/>
      <c r="I324" s="679"/>
      <c r="J324" s="250"/>
    </row>
    <row r="325" spans="1:13" x14ac:dyDescent="0.2">
      <c r="A325" s="680" t="s">
        <v>441</v>
      </c>
      <c r="B325" s="373"/>
      <c r="C325" s="381"/>
      <c r="D325" s="381"/>
      <c r="E325" s="381"/>
      <c r="F325" s="381"/>
      <c r="G325" s="381"/>
      <c r="H325" s="381"/>
      <c r="I325" s="382"/>
      <c r="J325" s="250"/>
    </row>
    <row r="326" spans="1:13" ht="34" hidden="1" x14ac:dyDescent="0.2">
      <c r="A326" s="673" t="s">
        <v>446</v>
      </c>
      <c r="B326" s="373"/>
      <c r="C326" s="349">
        <f>(HLOOKUP(CONCATENATE($B$267,-1),alles!$D$1:$AA$208,(MATCH(L326,alles!$C$1:$C$208,0)),0))</f>
        <v>0</v>
      </c>
      <c r="D326" s="349">
        <f>(HLOOKUP(CONCATENATE($B$267,-2),alles!$D$1:$AA$208,(MATCH(L326,alles!$C$1:$C$208,0)),0))</f>
        <v>0</v>
      </c>
      <c r="E326" s="349">
        <f t="shared" ref="E326:E330" si="97">C326+D326</f>
        <v>0</v>
      </c>
      <c r="F326" s="375" t="s">
        <v>289</v>
      </c>
      <c r="G326" s="383">
        <v>0</v>
      </c>
      <c r="H326" s="383">
        <v>0</v>
      </c>
      <c r="I326" s="383">
        <f t="shared" ref="I326:I331" si="98">G326+H326</f>
        <v>0</v>
      </c>
      <c r="J326" s="251"/>
      <c r="L326" s="542" t="s">
        <v>493</v>
      </c>
    </row>
    <row r="327" spans="1:13" ht="34" hidden="1" x14ac:dyDescent="0.2">
      <c r="A327" s="673" t="s">
        <v>447</v>
      </c>
      <c r="B327" s="373"/>
      <c r="C327" s="349">
        <f>(HLOOKUP(CONCATENATE($B$267,-1),alles!$D$1:$AA$208,(MATCH(L327,alles!$C$1:$C$208,0)),0))</f>
        <v>0</v>
      </c>
      <c r="D327" s="349">
        <f>(HLOOKUP(CONCATENATE($B$267,-2),alles!$D$1:$AA$208,(MATCH(L327,alles!$C$1:$C$208,0)),0))</f>
        <v>0</v>
      </c>
      <c r="E327" s="349">
        <f t="shared" si="97"/>
        <v>0</v>
      </c>
      <c r="F327" s="375" t="s">
        <v>289</v>
      </c>
      <c r="G327" s="383">
        <v>0</v>
      </c>
      <c r="H327" s="383">
        <v>0</v>
      </c>
      <c r="I327" s="383">
        <f t="shared" si="98"/>
        <v>0</v>
      </c>
      <c r="J327" s="251"/>
      <c r="L327" s="542" t="s">
        <v>498</v>
      </c>
    </row>
    <row r="328" spans="1:13" ht="34" hidden="1" x14ac:dyDescent="0.2">
      <c r="A328" s="673" t="s">
        <v>460</v>
      </c>
      <c r="B328" s="373"/>
      <c r="C328" s="349">
        <f>(HLOOKUP(CONCATENATE($B$267,-1),alles!$D$1:$AA$208,(MATCH(L328,alles!$C$1:$C$208,0)),0))</f>
        <v>0</v>
      </c>
      <c r="D328" s="349">
        <f>(HLOOKUP(CONCATENATE($B$267,-2),alles!$D$1:$AA$208,(MATCH(L328,alles!$C$1:$C$208,0)),0))</f>
        <v>0</v>
      </c>
      <c r="E328" s="349">
        <f t="shared" si="97"/>
        <v>0</v>
      </c>
      <c r="F328" s="375" t="s">
        <v>289</v>
      </c>
      <c r="G328" s="383">
        <v>0</v>
      </c>
      <c r="H328" s="383">
        <v>0</v>
      </c>
      <c r="I328" s="383">
        <f t="shared" si="98"/>
        <v>0</v>
      </c>
      <c r="J328" s="251"/>
      <c r="L328" s="542" t="s">
        <v>503</v>
      </c>
    </row>
    <row r="329" spans="1:13" ht="51" hidden="1" x14ac:dyDescent="0.2">
      <c r="A329" s="673" t="s">
        <v>462</v>
      </c>
      <c r="B329" s="373"/>
      <c r="C329" s="349">
        <f>(HLOOKUP(CONCATENATE($B$267,-1),alles!$D$1:$AA$208,(MATCH(L329,alles!$C$1:$C$208,0)),0))</f>
        <v>0</v>
      </c>
      <c r="D329" s="349">
        <f>(HLOOKUP(CONCATENATE($B$267,-2),alles!$D$1:$AA$208,(MATCH(L329,alles!$C$1:$C$208,0)),0))</f>
        <v>0</v>
      </c>
      <c r="E329" s="349">
        <f t="shared" si="97"/>
        <v>0</v>
      </c>
      <c r="F329" s="375" t="s">
        <v>289</v>
      </c>
      <c r="G329" s="383">
        <v>0</v>
      </c>
      <c r="H329" s="383">
        <v>0</v>
      </c>
      <c r="I329" s="383">
        <f t="shared" si="98"/>
        <v>0</v>
      </c>
      <c r="J329" s="251"/>
      <c r="L329" s="542" t="s">
        <v>508</v>
      </c>
    </row>
    <row r="330" spans="1:13" ht="17" hidden="1" x14ac:dyDescent="0.2">
      <c r="A330" s="673" t="s">
        <v>448</v>
      </c>
      <c r="B330" s="373"/>
      <c r="C330" s="349">
        <f>(HLOOKUP(CONCATENATE($B$267,-1),alles!$D$1:$AA$208,(MATCH(L330,alles!$C$1:$C$208,0)),0))</f>
        <v>0</v>
      </c>
      <c r="D330" s="349">
        <f>(HLOOKUP(CONCATENATE($B$267,-2),alles!$D$1:$AA$208,(MATCH(L330,alles!$C$1:$C$208,0)),0))</f>
        <v>0</v>
      </c>
      <c r="E330" s="349">
        <f t="shared" si="97"/>
        <v>0</v>
      </c>
      <c r="F330" s="375" t="s">
        <v>289</v>
      </c>
      <c r="G330" s="383">
        <v>0</v>
      </c>
      <c r="H330" s="383">
        <v>0</v>
      </c>
      <c r="I330" s="383">
        <f t="shared" si="98"/>
        <v>0</v>
      </c>
      <c r="J330" s="250"/>
      <c r="L330" s="542" t="s">
        <v>513</v>
      </c>
    </row>
    <row r="331" spans="1:13" ht="17" hidden="1" x14ac:dyDescent="0.2">
      <c r="A331" s="673" t="s">
        <v>449</v>
      </c>
      <c r="B331" s="373"/>
      <c r="C331" s="349">
        <f>(HLOOKUP(CONCATENATE($B$267,-1),alles!$D$1:$AA$208,(MATCH(L331,alles!$C$1:$C$208,0)),0))</f>
        <v>0</v>
      </c>
      <c r="D331" s="349">
        <f>(HLOOKUP(CONCATENATE($B$267,-2),alles!$D$1:$AA$208,(MATCH(L331,alles!$C$1:$C$208,0)),0))</f>
        <v>0</v>
      </c>
      <c r="E331" s="349">
        <f t="shared" ref="E331:E332" si="99">C331+D331</f>
        <v>0</v>
      </c>
      <c r="F331" s="375" t="s">
        <v>289</v>
      </c>
      <c r="G331" s="383">
        <v>0</v>
      </c>
      <c r="H331" s="383">
        <v>0</v>
      </c>
      <c r="I331" s="383">
        <f t="shared" si="98"/>
        <v>0</v>
      </c>
      <c r="J331" s="250"/>
      <c r="L331" s="542" t="s">
        <v>514</v>
      </c>
    </row>
    <row r="332" spans="1:13" ht="17" hidden="1" x14ac:dyDescent="0.2">
      <c r="A332" s="673" t="s">
        <v>450</v>
      </c>
      <c r="B332" s="674"/>
      <c r="C332" s="349">
        <f>(HLOOKUP(CONCATENATE($B$267,-1),alles!$D$1:$AA$208,(MATCH(L332,alles!$C$1:$C$208,0)),0))</f>
        <v>0</v>
      </c>
      <c r="D332" s="349">
        <f>(HLOOKUP(CONCATENATE($B$267,-2),alles!$D$1:$AA$208,(MATCH(L332,alles!$C$1:$C$208,0)),0))</f>
        <v>0</v>
      </c>
      <c r="E332" s="349">
        <f t="shared" si="99"/>
        <v>0</v>
      </c>
      <c r="F332" s="375" t="s">
        <v>289</v>
      </c>
      <c r="G332" s="383">
        <v>0</v>
      </c>
      <c r="H332" s="383">
        <v>0</v>
      </c>
      <c r="I332" s="383">
        <f t="shared" ref="I332" si="100">G332+H332</f>
        <v>0</v>
      </c>
      <c r="J332" s="250"/>
      <c r="L332" s="542" t="s">
        <v>515</v>
      </c>
    </row>
    <row r="333" spans="1:13" x14ac:dyDescent="0.2">
      <c r="A333" s="352" t="s">
        <v>31</v>
      </c>
      <c r="B333" s="352" t="s">
        <v>289</v>
      </c>
      <c r="C333" s="353" t="s">
        <v>289</v>
      </c>
      <c r="D333" s="353" t="s">
        <v>289</v>
      </c>
      <c r="E333" s="353" t="s">
        <v>289</v>
      </c>
      <c r="F333" s="353" t="s">
        <v>289</v>
      </c>
      <c r="G333" s="380">
        <f>SUM(G326:G329)</f>
        <v>0</v>
      </c>
      <c r="H333" s="380">
        <f>SUM(H326:H329)</f>
        <v>0</v>
      </c>
      <c r="I333" s="380">
        <f>SUM(I326:I329)</f>
        <v>0</v>
      </c>
      <c r="J333" s="251"/>
    </row>
    <row r="334" spans="1:13" ht="6" customHeight="1" x14ac:dyDescent="0.2">
      <c r="A334" s="234"/>
      <c r="B334" s="234"/>
      <c r="C334" s="234"/>
      <c r="D334" s="234"/>
      <c r="E334" s="234"/>
      <c r="F334" s="234"/>
      <c r="G334" s="234"/>
      <c r="H334" s="234"/>
      <c r="I334" s="234"/>
      <c r="J334" s="234"/>
    </row>
    <row r="335" spans="1:13" x14ac:dyDescent="0.2">
      <c r="A335" s="234"/>
      <c r="B335" s="234"/>
      <c r="C335" s="234"/>
      <c r="D335" s="234"/>
      <c r="E335" s="234"/>
      <c r="F335" s="234"/>
      <c r="G335" s="234"/>
      <c r="H335" s="234"/>
      <c r="I335" s="234"/>
      <c r="J335" s="234"/>
    </row>
    <row r="336" spans="1:13" x14ac:dyDescent="0.2">
      <c r="A336" s="234"/>
      <c r="B336" s="234"/>
      <c r="C336" s="234"/>
      <c r="D336" s="234"/>
      <c r="E336" s="234"/>
      <c r="F336" s="234"/>
      <c r="G336" s="234"/>
      <c r="H336" s="234"/>
      <c r="I336" s="234"/>
      <c r="J336" s="234"/>
    </row>
    <row r="337" spans="1:10" x14ac:dyDescent="0.2">
      <c r="A337" s="234"/>
      <c r="B337" s="234"/>
      <c r="C337" s="234"/>
      <c r="D337" s="234"/>
      <c r="E337" s="234"/>
      <c r="F337" s="234"/>
      <c r="G337" s="234"/>
      <c r="H337" s="234"/>
      <c r="I337" s="234"/>
      <c r="J337" s="234"/>
    </row>
    <row r="338" spans="1:10" x14ac:dyDescent="0.2">
      <c r="A338" s="234"/>
      <c r="B338" s="234"/>
      <c r="C338" s="234"/>
      <c r="D338" s="234"/>
      <c r="E338" s="234"/>
      <c r="F338" s="234"/>
      <c r="G338" s="234"/>
      <c r="H338" s="234"/>
      <c r="I338" s="234"/>
      <c r="J338" s="234"/>
    </row>
    <row r="339" spans="1:10" x14ac:dyDescent="0.2">
      <c r="A339" s="234"/>
      <c r="B339" s="234"/>
      <c r="C339" s="234"/>
      <c r="D339" s="234"/>
      <c r="E339" s="234"/>
      <c r="F339" s="234"/>
      <c r="G339" s="234"/>
      <c r="H339" s="234"/>
      <c r="I339" s="234"/>
      <c r="J339" s="234"/>
    </row>
    <row r="340" spans="1:10" x14ac:dyDescent="0.2">
      <c r="A340" s="234"/>
      <c r="B340" s="234"/>
      <c r="C340" s="234"/>
      <c r="D340" s="234"/>
      <c r="E340" s="234"/>
      <c r="F340" s="234"/>
      <c r="G340" s="234"/>
      <c r="H340" s="234"/>
      <c r="I340" s="234"/>
      <c r="J340" s="234"/>
    </row>
    <row r="341" spans="1:10" x14ac:dyDescent="0.2">
      <c r="A341" s="234"/>
      <c r="B341" s="234"/>
      <c r="C341" s="234"/>
      <c r="D341" s="234"/>
      <c r="E341" s="234"/>
      <c r="F341" s="234"/>
      <c r="G341" s="234"/>
      <c r="H341" s="234"/>
      <c r="I341" s="234"/>
      <c r="J341" s="234"/>
    </row>
    <row r="342" spans="1:10" x14ac:dyDescent="0.2">
      <c r="A342" s="234"/>
      <c r="B342" s="234"/>
      <c r="C342" s="234"/>
      <c r="D342" s="234"/>
      <c r="E342" s="234"/>
      <c r="F342" s="234"/>
      <c r="G342" s="234"/>
      <c r="H342" s="234"/>
      <c r="I342" s="234"/>
      <c r="J342" s="234"/>
    </row>
    <row r="343" spans="1:10" x14ac:dyDescent="0.2">
      <c r="A343" s="234"/>
      <c r="B343" s="234"/>
      <c r="C343" s="234"/>
      <c r="D343" s="234"/>
      <c r="E343" s="234"/>
      <c r="F343" s="234"/>
      <c r="G343" s="234"/>
      <c r="H343" s="234"/>
      <c r="I343" s="234"/>
      <c r="J343" s="234"/>
    </row>
    <row r="344" spans="1:10" x14ac:dyDescent="0.2">
      <c r="A344" s="234"/>
      <c r="B344" s="234"/>
      <c r="C344" s="234"/>
      <c r="D344" s="234"/>
      <c r="E344" s="234"/>
      <c r="F344" s="234"/>
      <c r="G344" s="234"/>
      <c r="H344" s="234"/>
      <c r="I344" s="234"/>
      <c r="J344" s="234"/>
    </row>
    <row r="345" spans="1:10" x14ac:dyDescent="0.2">
      <c r="A345" s="234"/>
      <c r="B345" s="234"/>
      <c r="C345" s="234"/>
      <c r="D345" s="234"/>
      <c r="E345" s="234"/>
      <c r="F345" s="234"/>
      <c r="G345" s="234"/>
      <c r="H345" s="234"/>
      <c r="I345" s="234"/>
      <c r="J345" s="234"/>
    </row>
    <row r="346" spans="1:10" x14ac:dyDescent="0.2">
      <c r="A346" s="234"/>
      <c r="B346" s="234"/>
      <c r="C346" s="234"/>
      <c r="D346" s="234"/>
      <c r="E346" s="234"/>
      <c r="F346" s="234"/>
      <c r="G346" s="234"/>
      <c r="H346" s="234"/>
      <c r="I346" s="234"/>
      <c r="J346" s="234"/>
    </row>
    <row r="347" spans="1:10" x14ac:dyDescent="0.2">
      <c r="A347" s="234"/>
      <c r="B347" s="234"/>
      <c r="C347" s="234"/>
      <c r="D347" s="234"/>
      <c r="E347" s="234"/>
      <c r="F347" s="234"/>
      <c r="G347" s="234"/>
      <c r="H347" s="234"/>
      <c r="I347" s="234"/>
      <c r="J347" s="234"/>
    </row>
    <row r="348" spans="1:10" x14ac:dyDescent="0.2">
      <c r="A348" s="234"/>
      <c r="B348" s="234"/>
      <c r="C348" s="234"/>
      <c r="D348" s="234"/>
      <c r="E348" s="234"/>
      <c r="F348" s="234"/>
      <c r="G348" s="234"/>
      <c r="H348" s="234"/>
      <c r="I348" s="234"/>
      <c r="J348" s="234"/>
    </row>
    <row r="349" spans="1:10" x14ac:dyDescent="0.2">
      <c r="A349" s="234"/>
      <c r="B349" s="234"/>
      <c r="C349" s="234"/>
      <c r="D349" s="234"/>
      <c r="E349" s="234"/>
      <c r="F349" s="234"/>
      <c r="G349" s="234"/>
      <c r="H349" s="234"/>
      <c r="I349" s="234"/>
      <c r="J349" s="234"/>
    </row>
    <row r="350" spans="1:10" x14ac:dyDescent="0.2">
      <c r="A350" s="234"/>
      <c r="B350" s="234"/>
      <c r="C350" s="234"/>
      <c r="D350" s="234"/>
      <c r="E350" s="234"/>
      <c r="F350" s="234"/>
      <c r="G350" s="234"/>
      <c r="H350" s="234"/>
      <c r="I350" s="234"/>
      <c r="J350" s="234"/>
    </row>
    <row r="351" spans="1:10" x14ac:dyDescent="0.2">
      <c r="A351" s="234"/>
      <c r="B351" s="234"/>
      <c r="C351" s="234"/>
      <c r="D351" s="234"/>
      <c r="E351" s="234"/>
      <c r="F351" s="234"/>
      <c r="G351" s="234"/>
      <c r="H351" s="234"/>
      <c r="I351" s="234"/>
      <c r="J351" s="234"/>
    </row>
    <row r="352" spans="1:10" x14ac:dyDescent="0.2">
      <c r="A352" s="234"/>
      <c r="B352" s="234"/>
      <c r="C352" s="234"/>
      <c r="D352" s="234"/>
      <c r="E352" s="234"/>
      <c r="F352" s="234"/>
      <c r="G352" s="234"/>
      <c r="H352" s="234"/>
      <c r="I352" s="234"/>
      <c r="J352" s="234"/>
    </row>
    <row r="353" spans="1:10" x14ac:dyDescent="0.2">
      <c r="A353" s="234"/>
      <c r="B353" s="234"/>
      <c r="C353" s="234"/>
      <c r="D353" s="234"/>
      <c r="E353" s="234"/>
      <c r="F353" s="234"/>
      <c r="G353" s="234"/>
      <c r="H353" s="234"/>
      <c r="I353" s="234"/>
      <c r="J353" s="234"/>
    </row>
    <row r="354" spans="1:10" x14ac:dyDescent="0.2">
      <c r="A354" s="234"/>
      <c r="B354" s="234"/>
      <c r="C354" s="234"/>
      <c r="D354" s="234"/>
      <c r="E354" s="234"/>
      <c r="F354" s="234"/>
      <c r="G354" s="234"/>
      <c r="H354" s="234"/>
      <c r="I354" s="234"/>
      <c r="J354" s="234"/>
    </row>
    <row r="355" spans="1:10" x14ac:dyDescent="0.2">
      <c r="A355" s="234"/>
      <c r="B355" s="234"/>
      <c r="C355" s="234"/>
      <c r="D355" s="234"/>
      <c r="E355" s="234"/>
      <c r="F355" s="234"/>
      <c r="G355" s="234"/>
      <c r="H355" s="234"/>
      <c r="I355" s="234"/>
      <c r="J355" s="234"/>
    </row>
    <row r="356" spans="1:10" x14ac:dyDescent="0.2">
      <c r="A356" s="234"/>
      <c r="B356" s="234"/>
      <c r="C356" s="234"/>
      <c r="D356" s="234"/>
      <c r="E356" s="234"/>
      <c r="F356" s="234"/>
      <c r="G356" s="234"/>
      <c r="H356" s="234"/>
      <c r="I356" s="234"/>
      <c r="J356" s="234"/>
    </row>
    <row r="357" spans="1:10" x14ac:dyDescent="0.2">
      <c r="A357" s="234"/>
      <c r="B357" s="234"/>
      <c r="C357" s="234"/>
      <c r="D357" s="234"/>
      <c r="E357" s="234"/>
      <c r="F357" s="234"/>
      <c r="G357" s="234"/>
      <c r="H357" s="234"/>
      <c r="I357" s="234"/>
      <c r="J357" s="234"/>
    </row>
    <row r="358" spans="1:10" x14ac:dyDescent="0.2">
      <c r="A358" s="234"/>
      <c r="B358" s="234"/>
      <c r="C358" s="234"/>
      <c r="D358" s="234"/>
      <c r="E358" s="234"/>
      <c r="F358" s="234"/>
      <c r="G358" s="234"/>
      <c r="H358" s="234"/>
      <c r="I358" s="234"/>
      <c r="J358" s="234"/>
    </row>
    <row r="359" spans="1:10" x14ac:dyDescent="0.2">
      <c r="A359" s="234"/>
      <c r="B359" s="234"/>
      <c r="C359" s="234"/>
      <c r="D359" s="234"/>
      <c r="E359" s="234"/>
      <c r="F359" s="234"/>
      <c r="G359" s="234"/>
      <c r="H359" s="234"/>
      <c r="I359" s="234"/>
      <c r="J359" s="234"/>
    </row>
    <row r="360" spans="1:10" x14ac:dyDescent="0.2">
      <c r="A360" s="234"/>
      <c r="B360" s="234"/>
      <c r="C360" s="234"/>
      <c r="D360" s="234"/>
      <c r="E360" s="234"/>
      <c r="F360" s="234"/>
      <c r="G360" s="234"/>
      <c r="H360" s="234"/>
      <c r="I360" s="234"/>
      <c r="J360" s="234"/>
    </row>
    <row r="361" spans="1:10" x14ac:dyDescent="0.2">
      <c r="A361" s="234"/>
      <c r="B361" s="234"/>
      <c r="C361" s="234"/>
      <c r="D361" s="234"/>
      <c r="E361" s="234"/>
      <c r="F361" s="234"/>
      <c r="G361" s="234"/>
      <c r="H361" s="234"/>
      <c r="I361" s="234"/>
      <c r="J361" s="234"/>
    </row>
    <row r="362" spans="1:10" x14ac:dyDescent="0.2">
      <c r="A362" s="234"/>
      <c r="B362" s="234"/>
      <c r="C362" s="234"/>
      <c r="D362" s="234"/>
      <c r="E362" s="234"/>
      <c r="F362" s="234"/>
      <c r="G362" s="234"/>
      <c r="H362" s="234"/>
      <c r="I362" s="234"/>
      <c r="J362" s="234"/>
    </row>
    <row r="363" spans="1:10" x14ac:dyDescent="0.2">
      <c r="A363" s="234"/>
      <c r="B363" s="234"/>
      <c r="C363" s="234"/>
      <c r="D363" s="234"/>
      <c r="E363" s="234"/>
      <c r="F363" s="234"/>
      <c r="G363" s="234"/>
      <c r="H363" s="234"/>
      <c r="I363" s="234"/>
      <c r="J363" s="234"/>
    </row>
    <row r="364" spans="1:10" x14ac:dyDescent="0.2">
      <c r="A364" s="234"/>
      <c r="B364" s="234"/>
      <c r="C364" s="234"/>
      <c r="D364" s="234"/>
      <c r="E364" s="234"/>
      <c r="F364" s="234"/>
      <c r="G364" s="234"/>
      <c r="H364" s="234"/>
      <c r="I364" s="234"/>
      <c r="J364" s="234"/>
    </row>
    <row r="365" spans="1:10" x14ac:dyDescent="0.2">
      <c r="A365" s="234"/>
      <c r="B365" s="234"/>
      <c r="C365" s="234"/>
      <c r="D365" s="234"/>
      <c r="E365" s="234"/>
      <c r="F365" s="234"/>
      <c r="G365" s="234"/>
      <c r="H365" s="234"/>
      <c r="I365" s="234"/>
      <c r="J365" s="234"/>
    </row>
    <row r="366" spans="1:10" x14ac:dyDescent="0.2">
      <c r="A366" s="234"/>
      <c r="B366" s="234"/>
      <c r="C366" s="234"/>
      <c r="D366" s="234"/>
      <c r="E366" s="234"/>
      <c r="F366" s="234"/>
      <c r="G366" s="234"/>
      <c r="H366" s="234"/>
      <c r="I366" s="234"/>
      <c r="J366" s="234"/>
    </row>
    <row r="367" spans="1:10" x14ac:dyDescent="0.2">
      <c r="A367" s="234"/>
      <c r="B367" s="234"/>
      <c r="C367" s="234"/>
      <c r="D367" s="234"/>
      <c r="E367" s="234"/>
      <c r="F367" s="234"/>
      <c r="G367" s="234"/>
      <c r="H367" s="234"/>
      <c r="I367" s="234"/>
      <c r="J367" s="234"/>
    </row>
    <row r="368" spans="1:10" x14ac:dyDescent="0.2">
      <c r="A368" s="234"/>
      <c r="B368" s="234"/>
      <c r="C368" s="234"/>
      <c r="D368" s="234"/>
      <c r="E368" s="234"/>
      <c r="F368" s="234"/>
      <c r="G368" s="234"/>
      <c r="H368" s="234"/>
      <c r="I368" s="234"/>
      <c r="J368" s="234"/>
    </row>
    <row r="369" spans="1:10" x14ac:dyDescent="0.2">
      <c r="A369" s="234"/>
      <c r="B369" s="234"/>
      <c r="C369" s="234"/>
      <c r="D369" s="234"/>
      <c r="E369" s="234"/>
      <c r="F369" s="234"/>
      <c r="G369" s="234"/>
      <c r="H369" s="234"/>
      <c r="I369" s="234"/>
      <c r="J369" s="234"/>
    </row>
    <row r="370" spans="1:10" x14ac:dyDescent="0.2">
      <c r="A370" s="234"/>
      <c r="B370" s="234"/>
      <c r="C370" s="234"/>
      <c r="D370" s="234"/>
      <c r="E370" s="234"/>
      <c r="F370" s="234"/>
      <c r="G370" s="234"/>
      <c r="H370" s="234"/>
      <c r="I370" s="234"/>
      <c r="J370" s="234"/>
    </row>
    <row r="371" spans="1:10" x14ac:dyDescent="0.2">
      <c r="A371" s="234"/>
      <c r="B371" s="234"/>
      <c r="C371" s="234"/>
      <c r="D371" s="234"/>
      <c r="E371" s="234"/>
      <c r="F371" s="234"/>
      <c r="G371" s="234"/>
      <c r="H371" s="234"/>
      <c r="I371" s="234"/>
      <c r="J371" s="234"/>
    </row>
    <row r="372" spans="1:10" x14ac:dyDescent="0.2">
      <c r="A372" s="234"/>
      <c r="B372" s="234"/>
      <c r="C372" s="234"/>
      <c r="D372" s="234"/>
      <c r="E372" s="234"/>
      <c r="F372" s="234"/>
      <c r="G372" s="234"/>
      <c r="H372" s="234"/>
      <c r="I372" s="234"/>
      <c r="J372" s="234"/>
    </row>
    <row r="373" spans="1:10" x14ac:dyDescent="0.2">
      <c r="A373" s="234"/>
      <c r="B373" s="234"/>
      <c r="C373" s="234"/>
      <c r="D373" s="234"/>
      <c r="E373" s="234"/>
      <c r="F373" s="234"/>
      <c r="G373" s="234"/>
      <c r="H373" s="234"/>
      <c r="I373" s="234"/>
      <c r="J373" s="234"/>
    </row>
    <row r="374" spans="1:10" x14ac:dyDescent="0.2">
      <c r="A374" s="234"/>
      <c r="B374" s="234"/>
      <c r="C374" s="234"/>
      <c r="D374" s="234"/>
      <c r="E374" s="234"/>
      <c r="F374" s="234"/>
      <c r="G374" s="234"/>
      <c r="H374" s="234"/>
      <c r="I374" s="234"/>
      <c r="J374" s="234"/>
    </row>
    <row r="375" spans="1:10" x14ac:dyDescent="0.2">
      <c r="A375" s="234"/>
      <c r="B375" s="234"/>
      <c r="C375" s="234"/>
      <c r="D375" s="234"/>
      <c r="E375" s="234"/>
      <c r="F375" s="234"/>
      <c r="G375" s="234"/>
      <c r="H375" s="234"/>
      <c r="I375" s="234"/>
      <c r="J375" s="234"/>
    </row>
    <row r="376" spans="1:10" x14ac:dyDescent="0.2">
      <c r="A376" s="234"/>
      <c r="B376" s="234"/>
      <c r="C376" s="234"/>
      <c r="D376" s="234"/>
      <c r="E376" s="234"/>
      <c r="F376" s="234"/>
      <c r="G376" s="234"/>
      <c r="H376" s="234"/>
      <c r="I376" s="234"/>
      <c r="J376" s="234"/>
    </row>
    <row r="377" spans="1:10" x14ac:dyDescent="0.2">
      <c r="A377" s="234"/>
      <c r="B377" s="234"/>
      <c r="C377" s="234"/>
      <c r="D377" s="234"/>
      <c r="E377" s="234"/>
      <c r="F377" s="234"/>
      <c r="G377" s="234"/>
      <c r="H377" s="234"/>
      <c r="I377" s="234"/>
      <c r="J377" s="234"/>
    </row>
    <row r="378" spans="1:10" x14ac:dyDescent="0.2">
      <c r="A378" s="234"/>
      <c r="B378" s="234"/>
      <c r="C378" s="234"/>
      <c r="D378" s="234"/>
      <c r="E378" s="234"/>
      <c r="F378" s="234"/>
      <c r="G378" s="234"/>
      <c r="H378" s="234"/>
      <c r="I378" s="234"/>
      <c r="J378" s="234"/>
    </row>
    <row r="379" spans="1:10" x14ac:dyDescent="0.2">
      <c r="A379" s="234"/>
      <c r="B379" s="234"/>
      <c r="C379" s="234"/>
      <c r="D379" s="234"/>
      <c r="E379" s="234"/>
      <c r="F379" s="234"/>
      <c r="G379" s="234"/>
      <c r="H379" s="234"/>
      <c r="I379" s="234"/>
      <c r="J379" s="234"/>
    </row>
    <row r="380" spans="1:10" x14ac:dyDescent="0.2">
      <c r="A380" s="234"/>
      <c r="B380" s="234"/>
      <c r="C380" s="234"/>
      <c r="D380" s="234"/>
      <c r="E380" s="234"/>
      <c r="F380" s="234"/>
      <c r="G380" s="234"/>
      <c r="H380" s="234"/>
      <c r="I380" s="234"/>
      <c r="J380" s="234"/>
    </row>
    <row r="381" spans="1:10" x14ac:dyDescent="0.2">
      <c r="A381" s="234"/>
      <c r="B381" s="234"/>
      <c r="C381" s="234"/>
      <c r="D381" s="234"/>
      <c r="E381" s="234"/>
      <c r="F381" s="234"/>
      <c r="G381" s="234"/>
      <c r="H381" s="234"/>
      <c r="I381" s="234"/>
      <c r="J381" s="234"/>
    </row>
    <row r="382" spans="1:10" x14ac:dyDescent="0.2">
      <c r="A382" s="234"/>
      <c r="B382" s="234"/>
      <c r="C382" s="234"/>
      <c r="D382" s="234"/>
      <c r="E382" s="234"/>
      <c r="F382" s="234"/>
      <c r="G382" s="234"/>
      <c r="H382" s="234"/>
      <c r="I382" s="234"/>
      <c r="J382" s="234"/>
    </row>
    <row r="383" spans="1:10" x14ac:dyDescent="0.2">
      <c r="A383" s="234"/>
      <c r="B383" s="234"/>
      <c r="C383" s="234"/>
      <c r="D383" s="234"/>
      <c r="E383" s="234"/>
      <c r="F383" s="234"/>
      <c r="G383" s="234"/>
      <c r="H383" s="234"/>
      <c r="I383" s="234"/>
      <c r="J383" s="234"/>
    </row>
    <row r="384" spans="1:10" x14ac:dyDescent="0.2">
      <c r="A384" s="234"/>
      <c r="B384" s="234"/>
      <c r="C384" s="234"/>
      <c r="D384" s="234"/>
      <c r="E384" s="234"/>
      <c r="F384" s="234"/>
      <c r="G384" s="234"/>
      <c r="H384" s="234"/>
      <c r="I384" s="234"/>
      <c r="J384" s="234"/>
    </row>
    <row r="385" spans="1:10" x14ac:dyDescent="0.2">
      <c r="A385" s="234"/>
      <c r="B385" s="234"/>
      <c r="C385" s="234"/>
      <c r="D385" s="234"/>
      <c r="E385" s="234"/>
      <c r="F385" s="234"/>
      <c r="G385" s="234"/>
      <c r="H385" s="234"/>
      <c r="I385" s="234"/>
      <c r="J385" s="234"/>
    </row>
    <row r="386" spans="1:10" x14ac:dyDescent="0.2">
      <c r="A386" s="234"/>
      <c r="B386" s="234"/>
      <c r="C386" s="234"/>
      <c r="D386" s="234"/>
      <c r="E386" s="234"/>
      <c r="F386" s="234"/>
      <c r="G386" s="234"/>
      <c r="H386" s="234"/>
      <c r="I386" s="234"/>
      <c r="J386" s="234"/>
    </row>
    <row r="387" spans="1:10" x14ac:dyDescent="0.2">
      <c r="A387" s="234"/>
      <c r="B387" s="234"/>
      <c r="C387" s="234"/>
      <c r="D387" s="234"/>
      <c r="E387" s="234"/>
      <c r="F387" s="234"/>
      <c r="G387" s="234"/>
      <c r="H387" s="234"/>
      <c r="I387" s="234"/>
      <c r="J387" s="234"/>
    </row>
    <row r="388" spans="1:10" x14ac:dyDescent="0.2">
      <c r="A388" s="234"/>
      <c r="B388" s="234"/>
      <c r="C388" s="234"/>
      <c r="D388" s="234"/>
      <c r="E388" s="234"/>
      <c r="F388" s="234"/>
      <c r="G388" s="234"/>
      <c r="H388" s="234"/>
      <c r="I388" s="234"/>
      <c r="J388" s="234"/>
    </row>
    <row r="389" spans="1:10" x14ac:dyDescent="0.2">
      <c r="A389" s="234"/>
      <c r="B389" s="234"/>
      <c r="C389" s="234"/>
      <c r="D389" s="234"/>
      <c r="E389" s="234"/>
      <c r="F389" s="234"/>
      <c r="G389" s="234"/>
      <c r="H389" s="234"/>
      <c r="I389" s="234"/>
      <c r="J389" s="234"/>
    </row>
    <row r="390" spans="1:10" x14ac:dyDescent="0.2">
      <c r="A390" s="234"/>
      <c r="B390" s="234"/>
      <c r="C390" s="234"/>
      <c r="D390" s="234"/>
      <c r="E390" s="234"/>
      <c r="F390" s="234"/>
      <c r="G390" s="234"/>
      <c r="H390" s="234"/>
      <c r="I390" s="234"/>
      <c r="J390" s="234"/>
    </row>
    <row r="391" spans="1:10" x14ac:dyDescent="0.2">
      <c r="A391" s="234"/>
      <c r="B391" s="234"/>
      <c r="C391" s="234"/>
      <c r="D391" s="234"/>
      <c r="E391" s="234"/>
      <c r="F391" s="234"/>
      <c r="G391" s="234"/>
      <c r="H391" s="234"/>
      <c r="I391" s="234"/>
      <c r="J391" s="234"/>
    </row>
    <row r="392" spans="1:10" x14ac:dyDescent="0.2">
      <c r="A392" s="234"/>
      <c r="B392" s="234"/>
      <c r="C392" s="234"/>
      <c r="D392" s="234"/>
      <c r="E392" s="234"/>
      <c r="F392" s="234"/>
      <c r="G392" s="234"/>
      <c r="H392" s="234"/>
      <c r="I392" s="234"/>
      <c r="J392" s="234"/>
    </row>
    <row r="393" spans="1:10" x14ac:dyDescent="0.2">
      <c r="A393" s="234"/>
      <c r="B393" s="234"/>
      <c r="C393" s="234"/>
      <c r="D393" s="234"/>
      <c r="E393" s="234"/>
      <c r="F393" s="234"/>
      <c r="G393" s="234"/>
      <c r="H393" s="234"/>
      <c r="I393" s="234"/>
      <c r="J393" s="234"/>
    </row>
    <row r="394" spans="1:10" x14ac:dyDescent="0.2">
      <c r="A394" s="234"/>
      <c r="B394" s="234"/>
      <c r="C394" s="234"/>
      <c r="D394" s="234"/>
      <c r="E394" s="234"/>
      <c r="F394" s="234"/>
      <c r="G394" s="234"/>
      <c r="H394" s="234"/>
      <c r="I394" s="234"/>
      <c r="J394" s="234"/>
    </row>
    <row r="395" spans="1:10" x14ac:dyDescent="0.2">
      <c r="A395" s="234"/>
      <c r="B395" s="234"/>
      <c r="C395" s="234"/>
      <c r="D395" s="234"/>
      <c r="E395" s="234"/>
      <c r="F395" s="234"/>
      <c r="G395" s="234"/>
      <c r="H395" s="234"/>
      <c r="I395" s="234"/>
      <c r="J395" s="234"/>
    </row>
    <row r="396" spans="1:10" x14ac:dyDescent="0.2">
      <c r="A396" s="234"/>
      <c r="B396" s="234"/>
      <c r="C396" s="234"/>
      <c r="D396" s="234"/>
      <c r="E396" s="234"/>
      <c r="F396" s="234"/>
      <c r="G396" s="234"/>
      <c r="H396" s="234"/>
      <c r="I396" s="234"/>
      <c r="J396" s="234"/>
    </row>
    <row r="397" spans="1:10" x14ac:dyDescent="0.2">
      <c r="A397" s="234"/>
      <c r="B397" s="234"/>
      <c r="C397" s="234"/>
      <c r="D397" s="234"/>
      <c r="E397" s="234"/>
      <c r="F397" s="234"/>
      <c r="G397" s="234"/>
      <c r="H397" s="234"/>
      <c r="I397" s="234"/>
      <c r="J397" s="234"/>
    </row>
    <row r="398" spans="1:10" x14ac:dyDescent="0.2">
      <c r="A398" s="234"/>
      <c r="B398" s="234"/>
      <c r="C398" s="234"/>
      <c r="D398" s="234"/>
      <c r="E398" s="234"/>
      <c r="F398" s="234"/>
      <c r="G398" s="234"/>
      <c r="H398" s="234"/>
      <c r="I398" s="234"/>
      <c r="J398" s="234"/>
    </row>
    <row r="399" spans="1:10" x14ac:dyDescent="0.2">
      <c r="A399" s="234"/>
      <c r="B399" s="234"/>
      <c r="C399" s="234"/>
      <c r="D399" s="234"/>
      <c r="E399" s="234"/>
      <c r="F399" s="234"/>
      <c r="G399" s="234"/>
      <c r="H399" s="234"/>
      <c r="I399" s="234"/>
      <c r="J399" s="234"/>
    </row>
    <row r="400" spans="1:10" x14ac:dyDescent="0.2">
      <c r="A400" s="234"/>
      <c r="B400" s="234"/>
      <c r="C400" s="234"/>
      <c r="D400" s="234"/>
      <c r="E400" s="234"/>
      <c r="F400" s="234"/>
      <c r="G400" s="234"/>
      <c r="H400" s="234"/>
      <c r="I400" s="234"/>
      <c r="J400" s="234"/>
    </row>
    <row r="401" spans="1:10" x14ac:dyDescent="0.2">
      <c r="A401" s="234"/>
      <c r="B401" s="234"/>
      <c r="C401" s="234"/>
      <c r="D401" s="234"/>
      <c r="E401" s="234"/>
      <c r="F401" s="234"/>
      <c r="G401" s="234"/>
      <c r="H401" s="234"/>
      <c r="I401" s="234"/>
      <c r="J401" s="234"/>
    </row>
    <row r="402" spans="1:10" x14ac:dyDescent="0.2">
      <c r="A402" s="234"/>
      <c r="B402" s="234"/>
      <c r="C402" s="234"/>
      <c r="D402" s="234"/>
      <c r="E402" s="234"/>
      <c r="F402" s="234"/>
      <c r="G402" s="234"/>
      <c r="H402" s="234"/>
      <c r="I402" s="234"/>
      <c r="J402" s="234"/>
    </row>
    <row r="403" spans="1:10" x14ac:dyDescent="0.2">
      <c r="A403" s="234"/>
      <c r="B403" s="234"/>
      <c r="C403" s="234"/>
      <c r="D403" s="234"/>
      <c r="E403" s="234"/>
      <c r="F403" s="234"/>
      <c r="G403" s="234"/>
      <c r="H403" s="234"/>
      <c r="I403" s="234"/>
      <c r="J403" s="234"/>
    </row>
    <row r="404" spans="1:10" x14ac:dyDescent="0.2">
      <c r="A404" s="234"/>
      <c r="B404" s="234"/>
      <c r="C404" s="234"/>
      <c r="D404" s="234"/>
      <c r="E404" s="234"/>
      <c r="F404" s="234"/>
      <c r="G404" s="234"/>
      <c r="H404" s="234"/>
      <c r="I404" s="234"/>
      <c r="J404" s="234"/>
    </row>
    <row r="405" spans="1:10" x14ac:dyDescent="0.2">
      <c r="A405" s="234"/>
      <c r="B405" s="234"/>
      <c r="C405" s="234"/>
      <c r="D405" s="234"/>
      <c r="E405" s="234"/>
      <c r="F405" s="234"/>
      <c r="G405" s="234"/>
      <c r="H405" s="234"/>
      <c r="I405" s="234"/>
      <c r="J405" s="234"/>
    </row>
    <row r="406" spans="1:10" x14ac:dyDescent="0.2">
      <c r="A406" s="234"/>
      <c r="B406" s="234"/>
      <c r="C406" s="234"/>
      <c r="D406" s="234"/>
      <c r="E406" s="234"/>
      <c r="F406" s="234"/>
      <c r="G406" s="234"/>
      <c r="H406" s="234"/>
      <c r="I406" s="234"/>
      <c r="J406" s="234"/>
    </row>
    <row r="407" spans="1:10" x14ac:dyDescent="0.2">
      <c r="A407" s="234"/>
      <c r="B407" s="234"/>
      <c r="C407" s="234"/>
      <c r="D407" s="234"/>
      <c r="E407" s="234"/>
      <c r="F407" s="234"/>
      <c r="G407" s="234"/>
      <c r="H407" s="234"/>
      <c r="I407" s="234"/>
      <c r="J407" s="234"/>
    </row>
    <row r="408" spans="1:10" x14ac:dyDescent="0.2">
      <c r="A408" s="234"/>
      <c r="B408" s="234"/>
      <c r="C408" s="234"/>
      <c r="D408" s="234"/>
      <c r="E408" s="234"/>
      <c r="F408" s="234"/>
      <c r="G408" s="234"/>
      <c r="H408" s="234"/>
      <c r="I408" s="234"/>
      <c r="J408" s="234"/>
    </row>
    <row r="409" spans="1:10" x14ac:dyDescent="0.2">
      <c r="A409" s="234"/>
      <c r="B409" s="234"/>
      <c r="C409" s="234"/>
      <c r="D409" s="234"/>
      <c r="E409" s="234"/>
      <c r="F409" s="234"/>
      <c r="G409" s="234"/>
      <c r="H409" s="234"/>
      <c r="I409" s="234"/>
      <c r="J409" s="234"/>
    </row>
    <row r="410" spans="1:10" x14ac:dyDescent="0.2">
      <c r="A410" s="234"/>
      <c r="B410" s="234"/>
      <c r="C410" s="234"/>
      <c r="D410" s="234"/>
      <c r="E410" s="234"/>
      <c r="F410" s="234"/>
      <c r="G410" s="234"/>
      <c r="H410" s="234"/>
      <c r="I410" s="234"/>
      <c r="J410" s="234"/>
    </row>
    <row r="411" spans="1:10" x14ac:dyDescent="0.2">
      <c r="A411" s="234"/>
      <c r="B411" s="234"/>
      <c r="C411" s="234"/>
      <c r="D411" s="234"/>
      <c r="E411" s="234"/>
      <c r="F411" s="234"/>
      <c r="G411" s="234"/>
      <c r="H411" s="234"/>
      <c r="I411" s="234"/>
      <c r="J411" s="234"/>
    </row>
    <row r="412" spans="1:10" x14ac:dyDescent="0.2">
      <c r="A412" s="234"/>
      <c r="B412" s="234"/>
      <c r="C412" s="234"/>
      <c r="D412" s="234"/>
      <c r="E412" s="234"/>
      <c r="F412" s="234"/>
      <c r="G412" s="234"/>
      <c r="H412" s="234"/>
      <c r="I412" s="234"/>
      <c r="J412" s="234"/>
    </row>
    <row r="413" spans="1:10" x14ac:dyDescent="0.2">
      <c r="A413" s="234"/>
      <c r="B413" s="234"/>
      <c r="C413" s="234"/>
      <c r="D413" s="234"/>
      <c r="E413" s="234"/>
      <c r="F413" s="234"/>
      <c r="G413" s="234"/>
      <c r="H413" s="234"/>
      <c r="I413" s="234"/>
      <c r="J413" s="234"/>
    </row>
    <row r="414" spans="1:10" x14ac:dyDescent="0.2">
      <c r="A414" s="234"/>
      <c r="B414" s="234"/>
      <c r="C414" s="234"/>
      <c r="D414" s="234"/>
      <c r="E414" s="234"/>
      <c r="F414" s="234"/>
      <c r="G414" s="234"/>
      <c r="H414" s="234"/>
      <c r="I414" s="234"/>
      <c r="J414" s="234"/>
    </row>
    <row r="415" spans="1:10" x14ac:dyDescent="0.2">
      <c r="A415" s="234"/>
      <c r="B415" s="234"/>
      <c r="C415" s="234"/>
      <c r="D415" s="234"/>
      <c r="E415" s="234"/>
      <c r="F415" s="234"/>
      <c r="G415" s="234"/>
      <c r="H415" s="234"/>
      <c r="I415" s="234"/>
      <c r="J415" s="234"/>
    </row>
    <row r="416" spans="1:10" x14ac:dyDescent="0.2">
      <c r="A416" s="234"/>
      <c r="B416" s="234"/>
      <c r="C416" s="234"/>
      <c r="D416" s="234"/>
      <c r="E416" s="234"/>
      <c r="F416" s="234"/>
      <c r="G416" s="234"/>
      <c r="H416" s="234"/>
      <c r="I416" s="234"/>
      <c r="J416" s="234"/>
    </row>
    <row r="417" spans="1:10" x14ac:dyDescent="0.2">
      <c r="A417" s="234"/>
      <c r="B417" s="234"/>
      <c r="C417" s="234"/>
      <c r="D417" s="234"/>
      <c r="E417" s="234"/>
      <c r="F417" s="234"/>
      <c r="G417" s="234"/>
      <c r="H417" s="234"/>
      <c r="I417" s="234"/>
      <c r="J417" s="234"/>
    </row>
    <row r="418" spans="1:10" x14ac:dyDescent="0.2">
      <c r="A418" s="234"/>
      <c r="B418" s="234"/>
      <c r="C418" s="234"/>
      <c r="D418" s="234"/>
      <c r="E418" s="234"/>
      <c r="F418" s="234"/>
      <c r="G418" s="234"/>
      <c r="H418" s="234"/>
      <c r="I418" s="234"/>
      <c r="J418" s="234"/>
    </row>
    <row r="419" spans="1:10" x14ac:dyDescent="0.2">
      <c r="A419" s="234"/>
      <c r="B419" s="234"/>
      <c r="C419" s="234"/>
      <c r="D419" s="234"/>
      <c r="E419" s="234"/>
      <c r="F419" s="234"/>
      <c r="G419" s="234"/>
      <c r="H419" s="234"/>
      <c r="I419" s="234"/>
      <c r="J419" s="234"/>
    </row>
    <row r="420" spans="1:10" x14ac:dyDescent="0.2">
      <c r="A420" s="234"/>
      <c r="B420" s="234"/>
      <c r="C420" s="234"/>
      <c r="D420" s="234"/>
      <c r="E420" s="234"/>
      <c r="F420" s="234"/>
      <c r="G420" s="234"/>
      <c r="H420" s="234"/>
      <c r="I420" s="234"/>
      <c r="J420" s="234"/>
    </row>
    <row r="421" spans="1:10" x14ac:dyDescent="0.2">
      <c r="A421" s="234"/>
      <c r="B421" s="234"/>
      <c r="C421" s="234"/>
      <c r="D421" s="234"/>
      <c r="E421" s="234"/>
      <c r="F421" s="234"/>
      <c r="G421" s="234"/>
      <c r="H421" s="234"/>
      <c r="I421" s="234"/>
      <c r="J421" s="234"/>
    </row>
    <row r="422" spans="1:10" x14ac:dyDescent="0.2">
      <c r="A422" s="234"/>
      <c r="B422" s="234"/>
      <c r="C422" s="234"/>
      <c r="D422" s="234"/>
      <c r="E422" s="234"/>
      <c r="F422" s="234"/>
      <c r="G422" s="234"/>
      <c r="H422" s="234"/>
      <c r="I422" s="234"/>
      <c r="J422" s="234"/>
    </row>
    <row r="423" spans="1:10" x14ac:dyDescent="0.2">
      <c r="A423" s="234"/>
      <c r="B423" s="234"/>
      <c r="C423" s="234"/>
      <c r="D423" s="234"/>
      <c r="E423" s="234"/>
      <c r="F423" s="234"/>
      <c r="G423" s="234"/>
      <c r="H423" s="234"/>
      <c r="I423" s="234"/>
      <c r="J423" s="234"/>
    </row>
    <row r="424" spans="1:10" x14ac:dyDescent="0.2">
      <c r="A424" s="234"/>
      <c r="B424" s="234"/>
      <c r="C424" s="234"/>
      <c r="D424" s="234"/>
      <c r="E424" s="234"/>
      <c r="F424" s="234"/>
      <c r="G424" s="234"/>
      <c r="H424" s="234"/>
      <c r="I424" s="234"/>
      <c r="J424" s="234"/>
    </row>
    <row r="425" spans="1:10" x14ac:dyDescent="0.2">
      <c r="A425" s="234"/>
      <c r="B425" s="234"/>
      <c r="C425" s="234"/>
      <c r="D425" s="234"/>
      <c r="E425" s="234"/>
      <c r="F425" s="234"/>
      <c r="G425" s="234"/>
      <c r="H425" s="234"/>
      <c r="I425" s="234"/>
      <c r="J425" s="234"/>
    </row>
    <row r="426" spans="1:10" x14ac:dyDescent="0.2">
      <c r="A426" s="234"/>
      <c r="B426" s="234"/>
      <c r="C426" s="234"/>
      <c r="D426" s="234"/>
      <c r="E426" s="234"/>
      <c r="F426" s="234"/>
      <c r="G426" s="234"/>
      <c r="H426" s="234"/>
      <c r="I426" s="234"/>
      <c r="J426" s="234"/>
    </row>
    <row r="427" spans="1:10" x14ac:dyDescent="0.2">
      <c r="A427" s="234"/>
      <c r="B427" s="234"/>
      <c r="C427" s="234"/>
      <c r="D427" s="234"/>
      <c r="E427" s="234"/>
      <c r="F427" s="234"/>
      <c r="G427" s="234"/>
      <c r="H427" s="234"/>
      <c r="I427" s="234"/>
      <c r="J427" s="234"/>
    </row>
    <row r="428" spans="1:10" x14ac:dyDescent="0.2">
      <c r="A428" s="234"/>
      <c r="B428" s="234"/>
      <c r="C428" s="234"/>
      <c r="D428" s="234"/>
      <c r="E428" s="234"/>
      <c r="F428" s="234"/>
      <c r="G428" s="234"/>
      <c r="H428" s="234"/>
      <c r="I428" s="234"/>
      <c r="J428" s="234"/>
    </row>
    <row r="429" spans="1:10" x14ac:dyDescent="0.2">
      <c r="A429" s="234"/>
      <c r="B429" s="234"/>
      <c r="C429" s="234"/>
      <c r="D429" s="234"/>
      <c r="E429" s="234"/>
      <c r="F429" s="234"/>
      <c r="G429" s="234"/>
      <c r="H429" s="234"/>
      <c r="I429" s="234"/>
      <c r="J429" s="234"/>
    </row>
    <row r="430" spans="1:10" x14ac:dyDescent="0.2">
      <c r="A430" s="234"/>
      <c r="B430" s="234"/>
      <c r="C430" s="234"/>
      <c r="D430" s="234"/>
      <c r="E430" s="234"/>
      <c r="F430" s="234"/>
      <c r="G430" s="234"/>
      <c r="H430" s="234"/>
      <c r="I430" s="234"/>
      <c r="J430" s="234"/>
    </row>
    <row r="431" spans="1:10" x14ac:dyDescent="0.2">
      <c r="A431" s="234"/>
      <c r="B431" s="234"/>
      <c r="C431" s="234"/>
      <c r="D431" s="234"/>
      <c r="E431" s="234"/>
      <c r="F431" s="234"/>
      <c r="G431" s="234"/>
      <c r="H431" s="234"/>
      <c r="I431" s="234"/>
      <c r="J431" s="234"/>
    </row>
    <row r="432" spans="1:10" x14ac:dyDescent="0.2">
      <c r="A432" s="234"/>
      <c r="B432" s="234"/>
      <c r="C432" s="234"/>
      <c r="D432" s="234"/>
      <c r="E432" s="234"/>
      <c r="F432" s="234"/>
      <c r="G432" s="234"/>
      <c r="H432" s="234"/>
      <c r="I432" s="234"/>
      <c r="J432" s="234"/>
    </row>
    <row r="433" spans="1:10" x14ac:dyDescent="0.2">
      <c r="A433" s="234"/>
      <c r="B433" s="234"/>
      <c r="C433" s="234"/>
      <c r="D433" s="234"/>
      <c r="E433" s="234"/>
      <c r="F433" s="234"/>
      <c r="G433" s="234"/>
      <c r="H433" s="234"/>
      <c r="I433" s="234"/>
      <c r="J433" s="234"/>
    </row>
    <row r="434" spans="1:10" x14ac:dyDescent="0.2">
      <c r="A434" s="234"/>
      <c r="B434" s="234"/>
      <c r="C434" s="234"/>
      <c r="D434" s="234"/>
      <c r="E434" s="234"/>
      <c r="F434" s="234"/>
      <c r="G434" s="234"/>
      <c r="H434" s="234"/>
      <c r="I434" s="234"/>
      <c r="J434" s="234"/>
    </row>
    <row r="435" spans="1:10" x14ac:dyDescent="0.2">
      <c r="A435" s="234"/>
      <c r="B435" s="234"/>
      <c r="C435" s="234"/>
      <c r="D435" s="234"/>
      <c r="E435" s="234"/>
      <c r="F435" s="234"/>
      <c r="G435" s="234"/>
      <c r="H435" s="234"/>
      <c r="I435" s="234"/>
      <c r="J435" s="234"/>
    </row>
    <row r="436" spans="1:10" x14ac:dyDescent="0.2">
      <c r="A436" s="234"/>
      <c r="B436" s="234"/>
      <c r="C436" s="234"/>
      <c r="D436" s="234"/>
      <c r="E436" s="234"/>
      <c r="F436" s="234"/>
      <c r="G436" s="234"/>
      <c r="H436" s="234"/>
      <c r="I436" s="234"/>
      <c r="J436" s="234"/>
    </row>
    <row r="437" spans="1:10" x14ac:dyDescent="0.2">
      <c r="A437" s="234"/>
      <c r="B437" s="234"/>
      <c r="C437" s="234"/>
      <c r="D437" s="234"/>
      <c r="E437" s="234"/>
      <c r="F437" s="234"/>
      <c r="G437" s="234"/>
      <c r="H437" s="234"/>
      <c r="I437" s="234"/>
      <c r="J437" s="234"/>
    </row>
    <row r="438" spans="1:10" x14ac:dyDescent="0.2">
      <c r="A438" s="234"/>
      <c r="B438" s="234"/>
      <c r="C438" s="234"/>
      <c r="D438" s="234"/>
      <c r="E438" s="234"/>
      <c r="F438" s="234"/>
      <c r="G438" s="234"/>
      <c r="H438" s="234"/>
      <c r="I438" s="234"/>
      <c r="J438" s="234"/>
    </row>
    <row r="439" spans="1:10" x14ac:dyDescent="0.2">
      <c r="A439" s="234"/>
      <c r="B439" s="234"/>
      <c r="C439" s="234"/>
      <c r="D439" s="234"/>
      <c r="E439" s="234"/>
      <c r="F439" s="234"/>
      <c r="G439" s="234"/>
      <c r="H439" s="234"/>
      <c r="I439" s="234"/>
      <c r="J439" s="234"/>
    </row>
    <row r="440" spans="1:10" x14ac:dyDescent="0.2">
      <c r="A440" s="234"/>
      <c r="B440" s="234"/>
      <c r="C440" s="234"/>
      <c r="D440" s="234"/>
      <c r="E440" s="234"/>
      <c r="F440" s="234"/>
      <c r="G440" s="234"/>
      <c r="H440" s="234"/>
      <c r="I440" s="234"/>
      <c r="J440" s="234"/>
    </row>
    <row r="441" spans="1:10" x14ac:dyDescent="0.2">
      <c r="A441" s="234"/>
      <c r="B441" s="234"/>
      <c r="C441" s="234"/>
      <c r="D441" s="234"/>
      <c r="E441" s="234"/>
      <c r="F441" s="234"/>
      <c r="G441" s="234"/>
      <c r="H441" s="234"/>
      <c r="I441" s="234"/>
      <c r="J441" s="234"/>
    </row>
    <row r="442" spans="1:10" x14ac:dyDescent="0.2">
      <c r="A442" s="234"/>
      <c r="B442" s="234"/>
      <c r="C442" s="234"/>
      <c r="D442" s="234"/>
      <c r="E442" s="234"/>
      <c r="F442" s="234"/>
      <c r="G442" s="234"/>
      <c r="H442" s="234"/>
      <c r="I442" s="234"/>
      <c r="J442" s="234"/>
    </row>
    <row r="443" spans="1:10" x14ac:dyDescent="0.2">
      <c r="A443" s="234"/>
      <c r="B443" s="234"/>
      <c r="C443" s="234"/>
      <c r="D443" s="234"/>
      <c r="E443" s="234"/>
      <c r="F443" s="234"/>
      <c r="G443" s="234"/>
      <c r="H443" s="234"/>
      <c r="I443" s="234"/>
      <c r="J443" s="234"/>
    </row>
    <row r="444" spans="1:10" x14ac:dyDescent="0.2">
      <c r="A444" s="234"/>
      <c r="B444" s="234"/>
      <c r="C444" s="234"/>
      <c r="D444" s="234"/>
      <c r="E444" s="234"/>
      <c r="F444" s="234"/>
      <c r="G444" s="234"/>
      <c r="H444" s="234"/>
      <c r="I444" s="234"/>
      <c r="J444" s="234"/>
    </row>
    <row r="445" spans="1:10" x14ac:dyDescent="0.2">
      <c r="A445" s="234"/>
      <c r="B445" s="234"/>
      <c r="C445" s="234"/>
      <c r="D445" s="234"/>
      <c r="E445" s="234"/>
      <c r="F445" s="234"/>
      <c r="G445" s="234"/>
      <c r="H445" s="234"/>
      <c r="I445" s="234"/>
      <c r="J445" s="234"/>
    </row>
    <row r="446" spans="1:10" x14ac:dyDescent="0.2">
      <c r="A446" s="234"/>
      <c r="B446" s="234"/>
      <c r="C446" s="234"/>
      <c r="D446" s="234"/>
      <c r="E446" s="234"/>
      <c r="F446" s="234"/>
      <c r="G446" s="234"/>
      <c r="H446" s="234"/>
      <c r="I446" s="234"/>
      <c r="J446" s="234"/>
    </row>
    <row r="447" spans="1:10" x14ac:dyDescent="0.2">
      <c r="A447" s="234"/>
      <c r="B447" s="234"/>
      <c r="C447" s="234"/>
      <c r="D447" s="234"/>
      <c r="E447" s="234"/>
      <c r="F447" s="234"/>
      <c r="G447" s="234"/>
      <c r="H447" s="234"/>
      <c r="I447" s="234"/>
      <c r="J447" s="234"/>
    </row>
    <row r="448" spans="1:10" x14ac:dyDescent="0.2">
      <c r="A448" s="234"/>
      <c r="B448" s="234"/>
      <c r="C448" s="234"/>
      <c r="D448" s="234"/>
      <c r="E448" s="234"/>
      <c r="F448" s="234"/>
      <c r="G448" s="234"/>
      <c r="H448" s="234"/>
      <c r="I448" s="234"/>
      <c r="J448" s="234"/>
    </row>
    <row r="449" spans="1:10" x14ac:dyDescent="0.2">
      <c r="A449" s="234"/>
      <c r="B449" s="234"/>
      <c r="C449" s="234"/>
      <c r="D449" s="234"/>
      <c r="E449" s="234"/>
      <c r="F449" s="234"/>
      <c r="G449" s="234"/>
      <c r="H449" s="234"/>
      <c r="I449" s="234"/>
      <c r="J449" s="234"/>
    </row>
    <row r="450" spans="1:10" x14ac:dyDescent="0.2">
      <c r="A450" s="234"/>
      <c r="B450" s="234"/>
      <c r="C450" s="234"/>
      <c r="D450" s="234"/>
      <c r="E450" s="234"/>
      <c r="F450" s="234"/>
      <c r="G450" s="234"/>
      <c r="H450" s="234"/>
      <c r="I450" s="234"/>
      <c r="J450" s="234"/>
    </row>
    <row r="451" spans="1:10" x14ac:dyDescent="0.2">
      <c r="A451" s="234"/>
      <c r="B451" s="234"/>
      <c r="C451" s="234"/>
      <c r="D451" s="234"/>
      <c r="E451" s="234"/>
      <c r="F451" s="234"/>
      <c r="G451" s="234"/>
      <c r="H451" s="234"/>
      <c r="I451" s="234"/>
      <c r="J451" s="234"/>
    </row>
    <row r="452" spans="1:10" x14ac:dyDescent="0.2">
      <c r="A452" s="234"/>
      <c r="B452" s="234"/>
      <c r="C452" s="234"/>
      <c r="D452" s="234"/>
      <c r="E452" s="234"/>
      <c r="F452" s="234"/>
      <c r="G452" s="234"/>
      <c r="H452" s="234"/>
      <c r="I452" s="234"/>
      <c r="J452" s="234"/>
    </row>
    <row r="453" spans="1:10" x14ac:dyDescent="0.2">
      <c r="A453" s="234"/>
      <c r="B453" s="234"/>
      <c r="C453" s="234"/>
      <c r="D453" s="234"/>
      <c r="E453" s="234"/>
      <c r="F453" s="234"/>
      <c r="G453" s="234"/>
      <c r="H453" s="234"/>
      <c r="I453" s="234"/>
      <c r="J453" s="234"/>
    </row>
    <row r="454" spans="1:10" x14ac:dyDescent="0.2">
      <c r="A454" s="234"/>
      <c r="B454" s="234"/>
      <c r="C454" s="234"/>
      <c r="D454" s="234"/>
      <c r="E454" s="234"/>
      <c r="F454" s="234"/>
      <c r="G454" s="234"/>
      <c r="H454" s="234"/>
      <c r="I454" s="234"/>
      <c r="J454" s="234"/>
    </row>
    <row r="455" spans="1:10" x14ac:dyDescent="0.2">
      <c r="A455" s="234"/>
      <c r="B455" s="234"/>
      <c r="C455" s="234"/>
      <c r="D455" s="234"/>
      <c r="E455" s="234"/>
      <c r="F455" s="234"/>
      <c r="G455" s="234"/>
      <c r="H455" s="234"/>
      <c r="I455" s="234"/>
      <c r="J455" s="234"/>
    </row>
    <row r="456" spans="1:10" x14ac:dyDescent="0.2">
      <c r="A456" s="234"/>
      <c r="B456" s="234"/>
      <c r="C456" s="234"/>
      <c r="D456" s="234"/>
      <c r="E456" s="234"/>
      <c r="F456" s="234"/>
      <c r="G456" s="234"/>
      <c r="H456" s="234"/>
      <c r="I456" s="234"/>
      <c r="J456" s="234"/>
    </row>
    <row r="457" spans="1:10" x14ac:dyDescent="0.2">
      <c r="A457" s="234"/>
      <c r="B457" s="234"/>
      <c r="C457" s="234"/>
      <c r="D457" s="234"/>
      <c r="E457" s="234"/>
      <c r="F457" s="234"/>
      <c r="G457" s="234"/>
      <c r="H457" s="234"/>
      <c r="I457" s="234"/>
      <c r="J457" s="234"/>
    </row>
    <row r="458" spans="1:10" x14ac:dyDescent="0.2">
      <c r="A458" s="234"/>
      <c r="B458" s="234"/>
      <c r="C458" s="234"/>
      <c r="D458" s="234"/>
      <c r="E458" s="234"/>
      <c r="F458" s="234"/>
      <c r="G458" s="234"/>
      <c r="H458" s="234"/>
      <c r="I458" s="234"/>
      <c r="J458" s="234"/>
    </row>
    <row r="459" spans="1:10" x14ac:dyDescent="0.2">
      <c r="A459" s="234"/>
      <c r="B459" s="234"/>
      <c r="C459" s="234"/>
      <c r="D459" s="234"/>
      <c r="E459" s="234"/>
      <c r="F459" s="234"/>
      <c r="G459" s="234"/>
      <c r="H459" s="234"/>
      <c r="I459" s="234"/>
      <c r="J459" s="234"/>
    </row>
    <row r="460" spans="1:10" x14ac:dyDescent="0.2">
      <c r="A460" s="234"/>
      <c r="B460" s="234"/>
      <c r="C460" s="234"/>
      <c r="D460" s="234"/>
      <c r="E460" s="234"/>
      <c r="F460" s="234"/>
      <c r="G460" s="234"/>
      <c r="H460" s="234"/>
      <c r="I460" s="234"/>
      <c r="J460" s="234"/>
    </row>
    <row r="461" spans="1:10" x14ac:dyDescent="0.2">
      <c r="A461" s="234"/>
      <c r="B461" s="234"/>
      <c r="C461" s="234"/>
      <c r="D461" s="234"/>
      <c r="E461" s="234"/>
      <c r="F461" s="234"/>
      <c r="G461" s="234"/>
      <c r="H461" s="234"/>
      <c r="I461" s="234"/>
      <c r="J461" s="234"/>
    </row>
    <row r="462" spans="1:10" x14ac:dyDescent="0.2">
      <c r="A462" s="234"/>
      <c r="B462" s="234"/>
      <c r="C462" s="234"/>
      <c r="D462" s="234"/>
      <c r="E462" s="234"/>
      <c r="F462" s="234"/>
      <c r="G462" s="234"/>
      <c r="H462" s="234"/>
      <c r="I462" s="234"/>
      <c r="J462" s="234"/>
    </row>
    <row r="463" spans="1:10" x14ac:dyDescent="0.2">
      <c r="A463" s="234"/>
      <c r="B463" s="234"/>
      <c r="C463" s="234"/>
      <c r="D463" s="234"/>
      <c r="E463" s="234"/>
      <c r="F463" s="234"/>
      <c r="G463" s="234"/>
      <c r="H463" s="234"/>
      <c r="I463" s="234"/>
      <c r="J463" s="234"/>
    </row>
    <row r="464" spans="1:10" x14ac:dyDescent="0.2">
      <c r="A464" s="234"/>
      <c r="B464" s="234"/>
      <c r="C464" s="234"/>
      <c r="D464" s="234"/>
      <c r="E464" s="234"/>
      <c r="F464" s="234"/>
      <c r="G464" s="234"/>
      <c r="H464" s="234"/>
      <c r="I464" s="234"/>
      <c r="J464" s="234"/>
    </row>
    <row r="465" spans="1:10" x14ac:dyDescent="0.2">
      <c r="A465" s="234"/>
      <c r="B465" s="234"/>
      <c r="C465" s="234"/>
      <c r="D465" s="234"/>
      <c r="E465" s="234"/>
      <c r="F465" s="234"/>
      <c r="G465" s="234"/>
      <c r="H465" s="234"/>
      <c r="I465" s="234"/>
      <c r="J465" s="234"/>
    </row>
    <row r="466" spans="1:10" x14ac:dyDescent="0.2">
      <c r="A466" s="234"/>
      <c r="B466" s="234"/>
      <c r="C466" s="234"/>
      <c r="D466" s="234"/>
      <c r="E466" s="234"/>
      <c r="F466" s="234"/>
      <c r="G466" s="234"/>
      <c r="H466" s="234"/>
      <c r="I466" s="234"/>
      <c r="J466" s="234"/>
    </row>
    <row r="467" spans="1:10" x14ac:dyDescent="0.2">
      <c r="A467" s="234"/>
      <c r="B467" s="234"/>
      <c r="C467" s="234"/>
      <c r="D467" s="234"/>
      <c r="E467" s="234"/>
      <c r="F467" s="234"/>
      <c r="G467" s="234"/>
      <c r="H467" s="234"/>
      <c r="I467" s="234"/>
      <c r="J467" s="234"/>
    </row>
    <row r="468" spans="1:10" x14ac:dyDescent="0.2">
      <c r="A468" s="234"/>
      <c r="B468" s="234"/>
      <c r="C468" s="234"/>
      <c r="D468" s="234"/>
      <c r="E468" s="234"/>
      <c r="F468" s="234"/>
      <c r="G468" s="234"/>
      <c r="H468" s="234"/>
      <c r="I468" s="234"/>
      <c r="J468" s="234"/>
    </row>
    <row r="469" spans="1:10" x14ac:dyDescent="0.2">
      <c r="A469" s="234"/>
      <c r="B469" s="234"/>
      <c r="C469" s="234"/>
      <c r="D469" s="234"/>
      <c r="E469" s="234"/>
      <c r="F469" s="234"/>
      <c r="G469" s="234"/>
      <c r="H469" s="234"/>
      <c r="I469" s="234"/>
      <c r="J469" s="234"/>
    </row>
    <row r="470" spans="1:10" x14ac:dyDescent="0.2">
      <c r="A470" s="234"/>
      <c r="B470" s="234"/>
      <c r="C470" s="234"/>
      <c r="D470" s="234"/>
      <c r="E470" s="234"/>
      <c r="F470" s="234"/>
      <c r="G470" s="234"/>
      <c r="H470" s="234"/>
      <c r="I470" s="234"/>
      <c r="J470" s="234"/>
    </row>
    <row r="471" spans="1:10" x14ac:dyDescent="0.2">
      <c r="A471" s="234"/>
      <c r="B471" s="234"/>
      <c r="C471" s="234"/>
      <c r="D471" s="234"/>
      <c r="E471" s="234"/>
      <c r="F471" s="234"/>
      <c r="G471" s="234"/>
      <c r="H471" s="234"/>
      <c r="I471" s="234"/>
      <c r="J471" s="234"/>
    </row>
    <row r="472" spans="1:10" x14ac:dyDescent="0.2">
      <c r="A472" s="234"/>
      <c r="B472" s="234"/>
      <c r="C472" s="234"/>
      <c r="D472" s="234"/>
      <c r="E472" s="234"/>
      <c r="F472" s="234"/>
      <c r="G472" s="234"/>
      <c r="H472" s="234"/>
      <c r="I472" s="234"/>
      <c r="J472" s="234"/>
    </row>
    <row r="473" spans="1:10" x14ac:dyDescent="0.2">
      <c r="A473" s="234"/>
      <c r="B473" s="234"/>
      <c r="C473" s="234"/>
      <c r="D473" s="234"/>
      <c r="E473" s="234"/>
      <c r="F473" s="234"/>
      <c r="G473" s="234"/>
      <c r="H473" s="234"/>
      <c r="I473" s="234"/>
      <c r="J473" s="234"/>
    </row>
    <row r="474" spans="1:10" x14ac:dyDescent="0.2">
      <c r="A474" s="234"/>
      <c r="B474" s="234"/>
      <c r="C474" s="234"/>
      <c r="D474" s="234"/>
      <c r="E474" s="234"/>
      <c r="F474" s="234"/>
      <c r="G474" s="234"/>
      <c r="H474" s="234"/>
      <c r="I474" s="234"/>
      <c r="J474" s="234"/>
    </row>
    <row r="475" spans="1:10" x14ac:dyDescent="0.2">
      <c r="A475" s="234"/>
      <c r="B475" s="234"/>
      <c r="C475" s="234"/>
      <c r="D475" s="234"/>
      <c r="E475" s="234"/>
      <c r="F475" s="234"/>
      <c r="G475" s="234"/>
      <c r="H475" s="234"/>
      <c r="I475" s="234"/>
      <c r="J475" s="234"/>
    </row>
    <row r="476" spans="1:10" x14ac:dyDescent="0.2">
      <c r="A476" s="234"/>
      <c r="B476" s="234"/>
      <c r="C476" s="234"/>
      <c r="D476" s="234"/>
      <c r="E476" s="234"/>
      <c r="F476" s="234"/>
      <c r="G476" s="234"/>
      <c r="H476" s="234"/>
      <c r="I476" s="234"/>
      <c r="J476" s="234"/>
    </row>
    <row r="477" spans="1:10" x14ac:dyDescent="0.2">
      <c r="A477" s="234"/>
      <c r="B477" s="234"/>
      <c r="C477" s="234"/>
      <c r="D477" s="234"/>
      <c r="E477" s="234"/>
      <c r="F477" s="234"/>
      <c r="G477" s="234"/>
      <c r="H477" s="234"/>
      <c r="I477" s="234"/>
      <c r="J477" s="234"/>
    </row>
    <row r="478" spans="1:10" x14ac:dyDescent="0.2">
      <c r="A478" s="234"/>
      <c r="B478" s="234"/>
      <c r="C478" s="234"/>
      <c r="D478" s="234"/>
      <c r="E478" s="234"/>
      <c r="F478" s="234"/>
      <c r="G478" s="234"/>
      <c r="H478" s="234"/>
      <c r="I478" s="234"/>
      <c r="J478" s="234"/>
    </row>
    <row r="479" spans="1:10" x14ac:dyDescent="0.2">
      <c r="A479" s="234"/>
      <c r="B479" s="234"/>
      <c r="C479" s="234"/>
      <c r="D479" s="234"/>
      <c r="E479" s="234"/>
      <c r="F479" s="234"/>
      <c r="G479" s="234"/>
      <c r="H479" s="234"/>
      <c r="I479" s="234"/>
      <c r="J479" s="234"/>
    </row>
    <row r="480" spans="1:10" x14ac:dyDescent="0.2">
      <c r="A480" s="234"/>
      <c r="B480" s="234"/>
      <c r="C480" s="234"/>
      <c r="D480" s="234"/>
      <c r="E480" s="234"/>
      <c r="F480" s="234"/>
      <c r="G480" s="234"/>
      <c r="H480" s="234"/>
      <c r="I480" s="234"/>
      <c r="J480" s="234"/>
    </row>
    <row r="481" spans="1:10" x14ac:dyDescent="0.2">
      <c r="A481" s="234"/>
      <c r="B481" s="234"/>
      <c r="C481" s="234"/>
      <c r="D481" s="234"/>
      <c r="E481" s="234"/>
      <c r="F481" s="234"/>
      <c r="G481" s="234"/>
      <c r="H481" s="234"/>
      <c r="I481" s="234"/>
      <c r="J481" s="234"/>
    </row>
    <row r="482" spans="1:10" x14ac:dyDescent="0.2">
      <c r="A482" s="234"/>
      <c r="B482" s="234"/>
      <c r="C482" s="234"/>
      <c r="D482" s="234"/>
      <c r="E482" s="234"/>
      <c r="F482" s="234"/>
      <c r="G482" s="234"/>
      <c r="H482" s="234"/>
      <c r="I482" s="234"/>
      <c r="J482" s="234"/>
    </row>
    <row r="483" spans="1:10" x14ac:dyDescent="0.2">
      <c r="A483" s="234"/>
      <c r="B483" s="234"/>
      <c r="C483" s="234"/>
      <c r="D483" s="234"/>
      <c r="E483" s="234"/>
      <c r="F483" s="234"/>
      <c r="G483" s="234"/>
      <c r="H483" s="234"/>
      <c r="I483" s="234"/>
      <c r="J483" s="234"/>
    </row>
    <row r="484" spans="1:10" x14ac:dyDescent="0.2">
      <c r="A484" s="234"/>
      <c r="B484" s="234"/>
      <c r="C484" s="234"/>
      <c r="D484" s="234"/>
      <c r="E484" s="234"/>
      <c r="F484" s="234"/>
      <c r="G484" s="234"/>
      <c r="H484" s="234"/>
      <c r="I484" s="234"/>
      <c r="J484" s="234"/>
    </row>
    <row r="485" spans="1:10" x14ac:dyDescent="0.2">
      <c r="A485" s="234"/>
      <c r="B485" s="234"/>
      <c r="C485" s="234"/>
      <c r="D485" s="234"/>
      <c r="E485" s="234"/>
      <c r="F485" s="234"/>
      <c r="G485" s="234"/>
      <c r="H485" s="234"/>
      <c r="I485" s="234"/>
      <c r="J485" s="234"/>
    </row>
    <row r="486" spans="1:10" x14ac:dyDescent="0.2">
      <c r="A486" s="234"/>
      <c r="B486" s="234"/>
      <c r="C486" s="234"/>
      <c r="D486" s="234"/>
      <c r="E486" s="234"/>
      <c r="F486" s="234"/>
      <c r="G486" s="234"/>
      <c r="H486" s="234"/>
      <c r="I486" s="234"/>
      <c r="J486" s="234"/>
    </row>
    <row r="487" spans="1:10" x14ac:dyDescent="0.2">
      <c r="A487" s="234"/>
      <c r="B487" s="234"/>
      <c r="C487" s="234"/>
      <c r="D487" s="234"/>
      <c r="E487" s="234"/>
      <c r="F487" s="234"/>
      <c r="G487" s="234"/>
      <c r="H487" s="234"/>
      <c r="I487" s="234"/>
      <c r="J487" s="234"/>
    </row>
    <row r="488" spans="1:10" x14ac:dyDescent="0.2">
      <c r="A488" s="234"/>
      <c r="B488" s="234"/>
      <c r="C488" s="234"/>
      <c r="D488" s="234"/>
      <c r="E488" s="234"/>
      <c r="F488" s="234"/>
      <c r="G488" s="234"/>
      <c r="H488" s="234"/>
      <c r="I488" s="234"/>
      <c r="J488" s="234"/>
    </row>
    <row r="489" spans="1:10" x14ac:dyDescent="0.2">
      <c r="A489" s="234"/>
      <c r="B489" s="234"/>
      <c r="C489" s="234"/>
      <c r="D489" s="234"/>
      <c r="E489" s="234"/>
      <c r="F489" s="234"/>
      <c r="G489" s="234"/>
      <c r="H489" s="234"/>
      <c r="I489" s="234"/>
      <c r="J489" s="234"/>
    </row>
    <row r="490" spans="1:10" x14ac:dyDescent="0.2">
      <c r="A490" s="234"/>
      <c r="B490" s="234"/>
      <c r="C490" s="234"/>
      <c r="D490" s="234"/>
      <c r="E490" s="234"/>
      <c r="F490" s="234"/>
      <c r="G490" s="234"/>
      <c r="H490" s="234"/>
      <c r="I490" s="234"/>
      <c r="J490" s="234"/>
    </row>
    <row r="491" spans="1:10" x14ac:dyDescent="0.2">
      <c r="A491" s="234"/>
      <c r="B491" s="234"/>
      <c r="C491" s="234"/>
      <c r="D491" s="234"/>
      <c r="E491" s="234"/>
      <c r="F491" s="234"/>
      <c r="G491" s="234"/>
      <c r="H491" s="234"/>
      <c r="I491" s="234"/>
      <c r="J491" s="234"/>
    </row>
    <row r="492" spans="1:10" x14ac:dyDescent="0.2">
      <c r="A492" s="234"/>
      <c r="B492" s="234"/>
      <c r="C492" s="234"/>
      <c r="D492" s="234"/>
      <c r="E492" s="234"/>
      <c r="F492" s="234"/>
      <c r="G492" s="234"/>
      <c r="H492" s="234"/>
      <c r="I492" s="234"/>
      <c r="J492" s="234"/>
    </row>
    <row r="493" spans="1:10" x14ac:dyDescent="0.2">
      <c r="A493" s="234"/>
      <c r="B493" s="234"/>
      <c r="C493" s="234"/>
      <c r="D493" s="234"/>
      <c r="E493" s="234"/>
      <c r="F493" s="234"/>
      <c r="G493" s="234"/>
      <c r="H493" s="234"/>
      <c r="I493" s="234"/>
      <c r="J493" s="234"/>
    </row>
    <row r="494" spans="1:10" x14ac:dyDescent="0.2">
      <c r="A494" s="234"/>
      <c r="B494" s="234"/>
      <c r="C494" s="234"/>
      <c r="D494" s="234"/>
      <c r="E494" s="234"/>
      <c r="F494" s="234"/>
      <c r="G494" s="234"/>
      <c r="H494" s="234"/>
      <c r="I494" s="234"/>
      <c r="J494" s="234"/>
    </row>
    <row r="495" spans="1:10" x14ac:dyDescent="0.2">
      <c r="A495" s="234"/>
      <c r="B495" s="234"/>
      <c r="C495" s="234"/>
      <c r="D495" s="234"/>
      <c r="E495" s="234"/>
      <c r="F495" s="234"/>
      <c r="G495" s="234"/>
      <c r="H495" s="234"/>
      <c r="I495" s="234"/>
      <c r="J495" s="234"/>
    </row>
    <row r="496" spans="1:10" x14ac:dyDescent="0.2">
      <c r="A496" s="234"/>
      <c r="B496" s="234"/>
      <c r="C496" s="234"/>
      <c r="D496" s="234"/>
      <c r="E496" s="234"/>
      <c r="F496" s="234"/>
      <c r="G496" s="234"/>
      <c r="H496" s="234"/>
      <c r="I496" s="234"/>
      <c r="J496" s="234"/>
    </row>
    <row r="497" spans="1:10" x14ac:dyDescent="0.2">
      <c r="A497" s="234"/>
      <c r="B497" s="234"/>
      <c r="C497" s="234"/>
      <c r="D497" s="234"/>
      <c r="E497" s="234"/>
      <c r="F497" s="234"/>
      <c r="G497" s="234"/>
      <c r="H497" s="234"/>
      <c r="I497" s="234"/>
      <c r="J497" s="234"/>
    </row>
    <row r="498" spans="1:10" x14ac:dyDescent="0.2">
      <c r="A498" s="234"/>
      <c r="B498" s="234"/>
      <c r="C498" s="234"/>
      <c r="D498" s="234"/>
      <c r="E498" s="234"/>
      <c r="F498" s="234"/>
      <c r="G498" s="234"/>
      <c r="H498" s="234"/>
      <c r="I498" s="234"/>
      <c r="J498" s="234"/>
    </row>
    <row r="499" spans="1:10" x14ac:dyDescent="0.2">
      <c r="A499" s="234"/>
      <c r="B499" s="234"/>
      <c r="C499" s="234"/>
      <c r="D499" s="234"/>
      <c r="E499" s="234"/>
      <c r="F499" s="234"/>
      <c r="G499" s="234"/>
      <c r="H499" s="234"/>
      <c r="I499" s="234"/>
      <c r="J499" s="234"/>
    </row>
    <row r="500" spans="1:10" x14ac:dyDescent="0.2">
      <c r="A500" s="234"/>
      <c r="B500" s="234"/>
      <c r="C500" s="234"/>
      <c r="D500" s="234"/>
      <c r="E500" s="234"/>
      <c r="F500" s="234"/>
      <c r="G500" s="234"/>
      <c r="H500" s="234"/>
      <c r="I500" s="234"/>
      <c r="J500" s="234"/>
    </row>
    <row r="501" spans="1:10" x14ac:dyDescent="0.2">
      <c r="A501" s="234"/>
      <c r="B501" s="234"/>
      <c r="C501" s="234"/>
      <c r="D501" s="234"/>
      <c r="E501" s="234"/>
      <c r="F501" s="234"/>
      <c r="G501" s="234"/>
      <c r="H501" s="234"/>
      <c r="I501" s="234"/>
      <c r="J501" s="234"/>
    </row>
    <row r="502" spans="1:10" x14ac:dyDescent="0.2">
      <c r="A502" s="234"/>
      <c r="B502" s="234"/>
      <c r="C502" s="234"/>
      <c r="D502" s="234"/>
      <c r="E502" s="234"/>
      <c r="F502" s="234"/>
      <c r="G502" s="234"/>
      <c r="H502" s="234"/>
      <c r="I502" s="234"/>
      <c r="J502" s="234"/>
    </row>
    <row r="503" spans="1:10" x14ac:dyDescent="0.2">
      <c r="A503" s="234"/>
      <c r="B503" s="234"/>
      <c r="C503" s="234"/>
      <c r="D503" s="234"/>
      <c r="E503" s="234"/>
      <c r="F503" s="234"/>
      <c r="G503" s="234"/>
      <c r="H503" s="234"/>
      <c r="I503" s="234"/>
      <c r="J503" s="234"/>
    </row>
    <row r="504" spans="1:10" x14ac:dyDescent="0.2">
      <c r="A504" s="234"/>
      <c r="B504" s="234"/>
      <c r="C504" s="234"/>
      <c r="D504" s="234"/>
      <c r="E504" s="234"/>
      <c r="F504" s="234"/>
      <c r="G504" s="234"/>
      <c r="H504" s="234"/>
      <c r="I504" s="234"/>
      <c r="J504" s="234"/>
    </row>
    <row r="505" spans="1:10" x14ac:dyDescent="0.2">
      <c r="A505" s="234"/>
      <c r="B505" s="234"/>
      <c r="C505" s="234"/>
      <c r="D505" s="234"/>
      <c r="E505" s="234"/>
      <c r="F505" s="234"/>
      <c r="G505" s="234"/>
      <c r="H505" s="234"/>
      <c r="I505" s="234"/>
      <c r="J505" s="234"/>
    </row>
    <row r="506" spans="1:10" x14ac:dyDescent="0.2">
      <c r="A506" s="234"/>
      <c r="B506" s="234"/>
      <c r="C506" s="234"/>
      <c r="D506" s="234"/>
      <c r="E506" s="234"/>
      <c r="F506" s="234"/>
      <c r="G506" s="234"/>
      <c r="H506" s="234"/>
      <c r="I506" s="234"/>
      <c r="J506" s="234"/>
    </row>
    <row r="507" spans="1:10" x14ac:dyDescent="0.2">
      <c r="A507" s="234"/>
      <c r="B507" s="234"/>
      <c r="C507" s="234"/>
      <c r="D507" s="234"/>
      <c r="E507" s="234"/>
      <c r="F507" s="234"/>
      <c r="G507" s="234"/>
      <c r="H507" s="234"/>
      <c r="I507" s="234"/>
      <c r="J507" s="234"/>
    </row>
    <row r="508" spans="1:10" x14ac:dyDescent="0.2">
      <c r="A508" s="234"/>
      <c r="B508" s="234"/>
      <c r="C508" s="234"/>
      <c r="D508" s="234"/>
      <c r="E508" s="234"/>
      <c r="F508" s="234"/>
      <c r="G508" s="234"/>
      <c r="H508" s="234"/>
      <c r="I508" s="234"/>
      <c r="J508" s="234"/>
    </row>
    <row r="509" spans="1:10" x14ac:dyDescent="0.2">
      <c r="A509" s="234"/>
      <c r="B509" s="234"/>
      <c r="C509" s="234"/>
      <c r="D509" s="234"/>
      <c r="E509" s="234"/>
      <c r="F509" s="234"/>
      <c r="G509" s="234"/>
      <c r="H509" s="234"/>
      <c r="I509" s="234"/>
      <c r="J509" s="234"/>
    </row>
    <row r="510" spans="1:10" x14ac:dyDescent="0.2">
      <c r="A510" s="234"/>
      <c r="B510" s="234"/>
      <c r="C510" s="234"/>
      <c r="D510" s="234"/>
      <c r="E510" s="234"/>
      <c r="F510" s="234"/>
      <c r="G510" s="234"/>
      <c r="H510" s="234"/>
      <c r="I510" s="234"/>
      <c r="J510" s="234"/>
    </row>
    <row r="511" spans="1:10" x14ac:dyDescent="0.2">
      <c r="A511" s="234"/>
      <c r="B511" s="234"/>
      <c r="C511" s="234"/>
      <c r="D511" s="234"/>
      <c r="E511" s="234"/>
      <c r="F511" s="234"/>
      <c r="G511" s="234"/>
      <c r="H511" s="234"/>
      <c r="I511" s="234"/>
      <c r="J511" s="234"/>
    </row>
    <row r="512" spans="1:10" x14ac:dyDescent="0.2">
      <c r="A512" s="234"/>
      <c r="B512" s="234"/>
      <c r="C512" s="234"/>
      <c r="D512" s="234"/>
      <c r="E512" s="234"/>
      <c r="F512" s="234"/>
      <c r="G512" s="234"/>
      <c r="H512" s="234"/>
      <c r="I512" s="234"/>
      <c r="J512" s="234"/>
    </row>
    <row r="513" spans="1:10" x14ac:dyDescent="0.2">
      <c r="A513" s="234"/>
      <c r="B513" s="234"/>
      <c r="C513" s="234"/>
      <c r="D513" s="234"/>
      <c r="E513" s="234"/>
      <c r="F513" s="234"/>
      <c r="G513" s="234"/>
      <c r="H513" s="234"/>
      <c r="I513" s="234"/>
      <c r="J513" s="234"/>
    </row>
    <row r="514" spans="1:10" x14ac:dyDescent="0.2">
      <c r="A514" s="234"/>
      <c r="B514" s="234"/>
      <c r="C514" s="234"/>
      <c r="D514" s="234"/>
      <c r="E514" s="234"/>
      <c r="F514" s="234"/>
      <c r="G514" s="234"/>
      <c r="H514" s="234"/>
      <c r="I514" s="234"/>
      <c r="J514" s="234"/>
    </row>
    <row r="515" spans="1:10" x14ac:dyDescent="0.2">
      <c r="A515" s="234"/>
      <c r="B515" s="234"/>
      <c r="C515" s="234"/>
      <c r="D515" s="234"/>
      <c r="E515" s="234"/>
      <c r="F515" s="234"/>
      <c r="G515" s="234"/>
      <c r="H515" s="234"/>
      <c r="I515" s="234"/>
      <c r="J515" s="234"/>
    </row>
    <row r="516" spans="1:10" x14ac:dyDescent="0.2">
      <c r="A516" s="234"/>
      <c r="B516" s="234"/>
      <c r="C516" s="234"/>
      <c r="D516" s="234"/>
      <c r="E516" s="234"/>
      <c r="F516" s="234"/>
      <c r="G516" s="234"/>
      <c r="H516" s="234"/>
      <c r="I516" s="234"/>
      <c r="J516" s="234"/>
    </row>
    <row r="517" spans="1:10" x14ac:dyDescent="0.2">
      <c r="A517" s="234"/>
      <c r="B517" s="234"/>
      <c r="C517" s="234"/>
      <c r="D517" s="234"/>
      <c r="E517" s="234"/>
      <c r="F517" s="234"/>
      <c r="G517" s="234"/>
      <c r="H517" s="234"/>
      <c r="I517" s="234"/>
      <c r="J517" s="234"/>
    </row>
    <row r="518" spans="1:10" x14ac:dyDescent="0.2">
      <c r="A518" s="234"/>
      <c r="B518" s="234"/>
      <c r="C518" s="234"/>
      <c r="D518" s="234"/>
      <c r="E518" s="234"/>
      <c r="F518" s="234"/>
      <c r="G518" s="234"/>
      <c r="H518" s="234"/>
      <c r="I518" s="234"/>
      <c r="J518" s="234"/>
    </row>
    <row r="519" spans="1:10" x14ac:dyDescent="0.2">
      <c r="A519" s="234"/>
      <c r="B519" s="234"/>
      <c r="C519" s="234"/>
      <c r="D519" s="234"/>
      <c r="E519" s="234"/>
      <c r="F519" s="234"/>
      <c r="G519" s="234"/>
      <c r="H519" s="234"/>
      <c r="I519" s="234"/>
      <c r="J519" s="234"/>
    </row>
    <row r="520" spans="1:10" x14ac:dyDescent="0.2">
      <c r="A520" s="234"/>
      <c r="B520" s="234"/>
      <c r="C520" s="234"/>
      <c r="D520" s="234"/>
      <c r="E520" s="234"/>
      <c r="F520" s="234"/>
      <c r="G520" s="234"/>
      <c r="H520" s="234"/>
      <c r="I520" s="234"/>
      <c r="J520" s="234"/>
    </row>
    <row r="521" spans="1:10" x14ac:dyDescent="0.2">
      <c r="A521" s="234"/>
      <c r="B521" s="234"/>
      <c r="C521" s="234"/>
      <c r="D521" s="234"/>
      <c r="E521" s="234"/>
      <c r="F521" s="234"/>
      <c r="G521" s="234"/>
      <c r="H521" s="234"/>
      <c r="I521" s="234"/>
      <c r="J521" s="234"/>
    </row>
    <row r="522" spans="1:10" x14ac:dyDescent="0.2">
      <c r="A522" s="234"/>
      <c r="B522" s="234"/>
      <c r="C522" s="234"/>
      <c r="D522" s="234"/>
      <c r="E522" s="234"/>
      <c r="F522" s="234"/>
      <c r="G522" s="234"/>
      <c r="H522" s="234"/>
      <c r="I522" s="234"/>
      <c r="J522" s="234"/>
    </row>
    <row r="523" spans="1:10" x14ac:dyDescent="0.2">
      <c r="A523" s="234"/>
      <c r="B523" s="234"/>
      <c r="C523" s="234"/>
      <c r="D523" s="234"/>
      <c r="E523" s="234"/>
      <c r="F523" s="234"/>
      <c r="G523" s="234"/>
      <c r="H523" s="234"/>
      <c r="I523" s="234"/>
      <c r="J523" s="234"/>
    </row>
    <row r="524" spans="1:10" x14ac:dyDescent="0.2">
      <c r="A524" s="234"/>
      <c r="B524" s="234"/>
      <c r="C524" s="234"/>
      <c r="D524" s="234"/>
      <c r="E524" s="234"/>
      <c r="F524" s="234"/>
      <c r="G524" s="234"/>
      <c r="H524" s="234"/>
      <c r="I524" s="234"/>
      <c r="J524" s="234"/>
    </row>
    <row r="525" spans="1:10" x14ac:dyDescent="0.2">
      <c r="A525" s="234"/>
      <c r="B525" s="234"/>
      <c r="C525" s="234"/>
      <c r="D525" s="234"/>
      <c r="E525" s="234"/>
      <c r="F525" s="234"/>
      <c r="G525" s="234"/>
      <c r="H525" s="234"/>
      <c r="I525" s="234"/>
      <c r="J525" s="234"/>
    </row>
    <row r="526" spans="1:10" x14ac:dyDescent="0.2">
      <c r="A526" s="234"/>
      <c r="B526" s="234"/>
      <c r="C526" s="234"/>
      <c r="D526" s="234"/>
      <c r="E526" s="234"/>
      <c r="F526" s="234"/>
      <c r="G526" s="234"/>
      <c r="H526" s="234"/>
      <c r="I526" s="234"/>
      <c r="J526" s="234"/>
    </row>
    <row r="527" spans="1:10" x14ac:dyDescent="0.2">
      <c r="A527" s="234"/>
      <c r="B527" s="234"/>
      <c r="C527" s="234"/>
      <c r="D527" s="234"/>
      <c r="E527" s="234"/>
      <c r="F527" s="234"/>
      <c r="G527" s="234"/>
      <c r="H527" s="234"/>
      <c r="I527" s="234"/>
      <c r="J527" s="234"/>
    </row>
    <row r="528" spans="1:10" x14ac:dyDescent="0.2">
      <c r="A528" s="234"/>
      <c r="B528" s="234"/>
      <c r="C528" s="234"/>
      <c r="D528" s="234"/>
      <c r="E528" s="234"/>
      <c r="F528" s="234"/>
      <c r="G528" s="234"/>
      <c r="H528" s="234"/>
      <c r="I528" s="234"/>
      <c r="J528" s="234"/>
    </row>
    <row r="529" spans="1:10" x14ac:dyDescent="0.2">
      <c r="A529" s="234"/>
      <c r="B529" s="234"/>
      <c r="C529" s="234"/>
      <c r="D529" s="234"/>
      <c r="E529" s="234"/>
      <c r="F529" s="234"/>
      <c r="G529" s="234"/>
      <c r="H529" s="234"/>
      <c r="I529" s="234"/>
      <c r="J529" s="234"/>
    </row>
    <row r="530" spans="1:10" x14ac:dyDescent="0.2">
      <c r="A530" s="234"/>
      <c r="B530" s="234"/>
      <c r="C530" s="234"/>
      <c r="D530" s="234"/>
      <c r="E530" s="234"/>
      <c r="F530" s="234"/>
      <c r="G530" s="234"/>
      <c r="H530" s="234"/>
      <c r="I530" s="234"/>
      <c r="J530" s="234"/>
    </row>
    <row r="531" spans="1:10" x14ac:dyDescent="0.2">
      <c r="A531" s="234"/>
      <c r="B531" s="234"/>
      <c r="C531" s="234"/>
      <c r="D531" s="234"/>
      <c r="E531" s="234"/>
      <c r="F531" s="234"/>
      <c r="G531" s="234"/>
      <c r="H531" s="234"/>
      <c r="I531" s="234"/>
      <c r="J531" s="234"/>
    </row>
    <row r="532" spans="1:10" x14ac:dyDescent="0.2">
      <c r="A532" s="234"/>
      <c r="B532" s="234"/>
      <c r="C532" s="234"/>
      <c r="D532" s="234"/>
      <c r="E532" s="234"/>
      <c r="F532" s="234"/>
      <c r="G532" s="234"/>
      <c r="H532" s="234"/>
      <c r="I532" s="234"/>
      <c r="J532" s="234"/>
    </row>
    <row r="533" spans="1:10" x14ac:dyDescent="0.2">
      <c r="A533" s="234"/>
      <c r="B533" s="234"/>
      <c r="C533" s="234"/>
      <c r="D533" s="234"/>
      <c r="E533" s="234"/>
      <c r="F533" s="234"/>
      <c r="G533" s="234"/>
      <c r="H533" s="234"/>
      <c r="I533" s="234"/>
      <c r="J533" s="234"/>
    </row>
    <row r="534" spans="1:10" x14ac:dyDescent="0.2">
      <c r="A534" s="234"/>
      <c r="B534" s="234"/>
      <c r="C534" s="234"/>
      <c r="D534" s="234"/>
      <c r="E534" s="234"/>
      <c r="F534" s="234"/>
      <c r="G534" s="234"/>
      <c r="H534" s="234"/>
      <c r="I534" s="234"/>
      <c r="J534" s="234"/>
    </row>
    <row r="535" spans="1:10" x14ac:dyDescent="0.2">
      <c r="A535" s="234"/>
      <c r="B535" s="234"/>
      <c r="C535" s="234"/>
      <c r="D535" s="234"/>
      <c r="E535" s="234"/>
      <c r="F535" s="234"/>
      <c r="G535" s="234"/>
      <c r="H535" s="234"/>
      <c r="I535" s="234"/>
      <c r="J535" s="234"/>
    </row>
    <row r="536" spans="1:10" x14ac:dyDescent="0.2">
      <c r="A536" s="234"/>
      <c r="B536" s="234"/>
      <c r="C536" s="234"/>
      <c r="D536" s="234"/>
      <c r="E536" s="234"/>
      <c r="F536" s="234"/>
      <c r="G536" s="234"/>
      <c r="H536" s="234"/>
      <c r="I536" s="234"/>
      <c r="J536" s="234"/>
    </row>
    <row r="537" spans="1:10" x14ac:dyDescent="0.2">
      <c r="A537" s="234"/>
      <c r="B537" s="234"/>
      <c r="C537" s="234"/>
      <c r="D537" s="234"/>
      <c r="E537" s="234"/>
      <c r="F537" s="234"/>
      <c r="G537" s="234"/>
      <c r="H537" s="234"/>
      <c r="I537" s="234"/>
      <c r="J537" s="234"/>
    </row>
    <row r="538" spans="1:10" x14ac:dyDescent="0.2">
      <c r="A538" s="234"/>
      <c r="B538" s="234"/>
      <c r="C538" s="234"/>
      <c r="D538" s="234"/>
      <c r="E538" s="234"/>
      <c r="F538" s="234"/>
      <c r="G538" s="234"/>
      <c r="H538" s="234"/>
      <c r="I538" s="234"/>
      <c r="J538" s="234"/>
    </row>
    <row r="539" spans="1:10" x14ac:dyDescent="0.2">
      <c r="A539" s="234"/>
      <c r="B539" s="234"/>
      <c r="C539" s="234"/>
      <c r="D539" s="234"/>
      <c r="E539" s="234"/>
      <c r="F539" s="234"/>
      <c r="G539" s="234"/>
      <c r="H539" s="234"/>
      <c r="I539" s="234"/>
      <c r="J539" s="234"/>
    </row>
    <row r="540" spans="1:10" x14ac:dyDescent="0.2">
      <c r="A540" s="234"/>
      <c r="B540" s="234"/>
      <c r="C540" s="234"/>
      <c r="D540" s="234"/>
      <c r="E540" s="234"/>
      <c r="F540" s="234"/>
      <c r="G540" s="234"/>
      <c r="H540" s="234"/>
      <c r="I540" s="234"/>
      <c r="J540" s="234"/>
    </row>
    <row r="541" spans="1:10" x14ac:dyDescent="0.2">
      <c r="A541" s="234"/>
      <c r="B541" s="234"/>
      <c r="C541" s="234"/>
      <c r="D541" s="234"/>
      <c r="E541" s="234"/>
      <c r="F541" s="234"/>
      <c r="G541" s="234"/>
      <c r="H541" s="234"/>
      <c r="I541" s="234"/>
      <c r="J541" s="234"/>
    </row>
    <row r="542" spans="1:10" x14ac:dyDescent="0.2">
      <c r="A542" s="234"/>
      <c r="B542" s="234"/>
      <c r="C542" s="234"/>
      <c r="D542" s="234"/>
      <c r="E542" s="234"/>
      <c r="F542" s="234"/>
      <c r="G542" s="234"/>
      <c r="H542" s="234"/>
      <c r="I542" s="234"/>
      <c r="J542" s="234"/>
    </row>
    <row r="543" spans="1:10" x14ac:dyDescent="0.2">
      <c r="A543" s="234"/>
      <c r="B543" s="234"/>
      <c r="C543" s="234"/>
      <c r="D543" s="234"/>
      <c r="E543" s="234"/>
      <c r="F543" s="234"/>
      <c r="G543" s="234"/>
      <c r="H543" s="234"/>
      <c r="I543" s="234"/>
      <c r="J543" s="234"/>
    </row>
    <row r="544" spans="1:10" x14ac:dyDescent="0.2">
      <c r="A544" s="234"/>
      <c r="B544" s="234"/>
      <c r="C544" s="234"/>
      <c r="D544" s="234"/>
      <c r="E544" s="234"/>
      <c r="F544" s="234"/>
      <c r="G544" s="234"/>
      <c r="H544" s="234"/>
      <c r="I544" s="234"/>
      <c r="J544" s="234"/>
    </row>
    <row r="545" spans="1:10" x14ac:dyDescent="0.2">
      <c r="A545" s="234"/>
      <c r="B545" s="234"/>
      <c r="C545" s="234"/>
      <c r="D545" s="234"/>
      <c r="E545" s="234"/>
      <c r="F545" s="234"/>
      <c r="G545" s="234"/>
      <c r="H545" s="234"/>
      <c r="I545" s="234"/>
      <c r="J545" s="234"/>
    </row>
    <row r="546" spans="1:10" x14ac:dyDescent="0.2">
      <c r="A546" s="234"/>
      <c r="B546" s="234"/>
      <c r="C546" s="234"/>
      <c r="D546" s="234"/>
      <c r="E546" s="234"/>
      <c r="F546" s="234"/>
      <c r="G546" s="234"/>
      <c r="H546" s="234"/>
      <c r="I546" s="234"/>
      <c r="J546" s="234"/>
    </row>
    <row r="547" spans="1:10" x14ac:dyDescent="0.2">
      <c r="A547" s="234"/>
      <c r="B547" s="234"/>
      <c r="C547" s="234"/>
      <c r="D547" s="234"/>
      <c r="E547" s="234"/>
      <c r="F547" s="234"/>
      <c r="G547" s="234"/>
      <c r="H547" s="234"/>
      <c r="I547" s="234"/>
      <c r="J547" s="234"/>
    </row>
    <row r="548" spans="1:10" x14ac:dyDescent="0.2">
      <c r="A548" s="234"/>
      <c r="B548" s="234"/>
      <c r="C548" s="234"/>
      <c r="D548" s="234"/>
      <c r="E548" s="234"/>
      <c r="F548" s="234"/>
      <c r="G548" s="234"/>
      <c r="H548" s="234"/>
      <c r="I548" s="234"/>
      <c r="J548" s="234"/>
    </row>
    <row r="549" spans="1:10" x14ac:dyDescent="0.2">
      <c r="A549" s="234"/>
      <c r="B549" s="234"/>
      <c r="C549" s="234"/>
      <c r="D549" s="234"/>
      <c r="E549" s="234"/>
      <c r="F549" s="234"/>
      <c r="G549" s="234"/>
      <c r="H549" s="234"/>
      <c r="I549" s="234"/>
      <c r="J549" s="234"/>
    </row>
    <row r="550" spans="1:10" x14ac:dyDescent="0.2">
      <c r="A550" s="234"/>
      <c r="B550" s="234"/>
      <c r="C550" s="234"/>
      <c r="D550" s="234"/>
      <c r="E550" s="234"/>
      <c r="F550" s="234"/>
      <c r="G550" s="234"/>
      <c r="H550" s="234"/>
      <c r="I550" s="234"/>
      <c r="J550" s="234"/>
    </row>
    <row r="551" spans="1:10" x14ac:dyDescent="0.2">
      <c r="A551" s="234"/>
      <c r="B551" s="234"/>
      <c r="C551" s="234"/>
      <c r="D551" s="234"/>
      <c r="E551" s="234"/>
      <c r="F551" s="234"/>
      <c r="G551" s="234"/>
      <c r="H551" s="234"/>
      <c r="I551" s="234"/>
      <c r="J551" s="234"/>
    </row>
    <row r="552" spans="1:10" x14ac:dyDescent="0.2">
      <c r="A552" s="234"/>
      <c r="B552" s="234"/>
      <c r="C552" s="234"/>
      <c r="D552" s="234"/>
      <c r="E552" s="234"/>
      <c r="F552" s="234"/>
      <c r="G552" s="234"/>
      <c r="H552" s="234"/>
      <c r="I552" s="234"/>
      <c r="J552" s="234"/>
    </row>
    <row r="553" spans="1:10" x14ac:dyDescent="0.2">
      <c r="A553" s="234"/>
      <c r="B553" s="234"/>
      <c r="C553" s="234"/>
      <c r="D553" s="234"/>
      <c r="E553" s="234"/>
      <c r="F553" s="234"/>
      <c r="G553" s="234"/>
      <c r="H553" s="234"/>
      <c r="I553" s="234"/>
      <c r="J553" s="234"/>
    </row>
    <row r="554" spans="1:10" x14ac:dyDescent="0.2">
      <c r="A554" s="234"/>
      <c r="B554" s="234"/>
      <c r="C554" s="234"/>
      <c r="D554" s="234"/>
      <c r="E554" s="234"/>
      <c r="F554" s="234"/>
      <c r="G554" s="234"/>
      <c r="H554" s="234"/>
      <c r="I554" s="234"/>
      <c r="J554" s="234"/>
    </row>
    <row r="555" spans="1:10" x14ac:dyDescent="0.2">
      <c r="A555" s="234"/>
      <c r="B555" s="234"/>
      <c r="C555" s="234"/>
      <c r="D555" s="234"/>
      <c r="E555" s="234"/>
      <c r="F555" s="234"/>
      <c r="G555" s="234"/>
      <c r="H555" s="234"/>
      <c r="I555" s="234"/>
      <c r="J555" s="234"/>
    </row>
    <row r="556" spans="1:10" x14ac:dyDescent="0.2">
      <c r="A556" s="234"/>
      <c r="B556" s="234"/>
      <c r="C556" s="234"/>
      <c r="D556" s="234"/>
      <c r="E556" s="234"/>
      <c r="F556" s="234"/>
      <c r="G556" s="234"/>
      <c r="H556" s="234"/>
      <c r="I556" s="234"/>
      <c r="J556" s="234"/>
    </row>
    <row r="557" spans="1:10" x14ac:dyDescent="0.2">
      <c r="A557" s="234"/>
      <c r="B557" s="234"/>
      <c r="C557" s="234"/>
      <c r="D557" s="234"/>
      <c r="E557" s="234"/>
      <c r="F557" s="234"/>
      <c r="G557" s="234"/>
      <c r="H557" s="234"/>
      <c r="I557" s="234"/>
      <c r="J557" s="234"/>
    </row>
    <row r="558" spans="1:10" x14ac:dyDescent="0.2">
      <c r="A558" s="234"/>
      <c r="B558" s="234"/>
      <c r="C558" s="234"/>
      <c r="D558" s="234"/>
      <c r="E558" s="234"/>
      <c r="F558" s="234"/>
      <c r="G558" s="234"/>
      <c r="H558" s="234"/>
      <c r="I558" s="234"/>
      <c r="J558" s="234"/>
    </row>
    <row r="559" spans="1:10" x14ac:dyDescent="0.2">
      <c r="A559" s="234"/>
      <c r="B559" s="234"/>
      <c r="C559" s="234"/>
      <c r="D559" s="234"/>
      <c r="E559" s="234"/>
      <c r="F559" s="234"/>
      <c r="G559" s="234"/>
      <c r="H559" s="234"/>
      <c r="I559" s="234"/>
      <c r="J559" s="234"/>
    </row>
    <row r="560" spans="1:10" x14ac:dyDescent="0.2">
      <c r="A560" s="234"/>
      <c r="B560" s="234"/>
      <c r="C560" s="234"/>
      <c r="D560" s="234"/>
      <c r="E560" s="234"/>
      <c r="F560" s="234"/>
      <c r="G560" s="234"/>
      <c r="H560" s="234"/>
      <c r="I560" s="234"/>
      <c r="J560" s="234"/>
    </row>
    <row r="561" spans="1:10" x14ac:dyDescent="0.2">
      <c r="A561" s="234"/>
      <c r="B561" s="234"/>
      <c r="C561" s="234"/>
      <c r="D561" s="234"/>
      <c r="E561" s="234"/>
      <c r="F561" s="234"/>
      <c r="G561" s="234"/>
      <c r="H561" s="234"/>
      <c r="I561" s="234"/>
      <c r="J561" s="234"/>
    </row>
    <row r="562" spans="1:10" x14ac:dyDescent="0.2">
      <c r="A562" s="234"/>
      <c r="B562" s="234"/>
      <c r="C562" s="234"/>
      <c r="D562" s="234"/>
      <c r="E562" s="234"/>
      <c r="F562" s="234"/>
      <c r="G562" s="234"/>
      <c r="H562" s="234"/>
      <c r="I562" s="234"/>
      <c r="J562" s="234"/>
    </row>
    <row r="563" spans="1:10" x14ac:dyDescent="0.2">
      <c r="A563" s="234"/>
      <c r="B563" s="234"/>
      <c r="C563" s="234"/>
      <c r="D563" s="234"/>
      <c r="E563" s="234"/>
      <c r="F563" s="234"/>
      <c r="G563" s="234"/>
      <c r="H563" s="234"/>
      <c r="I563" s="234"/>
      <c r="J563" s="234"/>
    </row>
    <row r="564" spans="1:10" x14ac:dyDescent="0.2">
      <c r="A564" s="234"/>
      <c r="B564" s="234"/>
      <c r="C564" s="234"/>
      <c r="D564" s="234"/>
      <c r="E564" s="234"/>
      <c r="F564" s="234"/>
      <c r="G564" s="234"/>
      <c r="H564" s="234"/>
      <c r="I564" s="234"/>
      <c r="J564" s="234"/>
    </row>
    <row r="565" spans="1:10" x14ac:dyDescent="0.2">
      <c r="A565" s="234"/>
      <c r="B565" s="234"/>
      <c r="C565" s="234"/>
      <c r="D565" s="234"/>
      <c r="E565" s="234"/>
      <c r="F565" s="234"/>
      <c r="G565" s="234"/>
      <c r="H565" s="234"/>
      <c r="I565" s="234"/>
      <c r="J565" s="234"/>
    </row>
    <row r="566" spans="1:10" x14ac:dyDescent="0.2">
      <c r="A566" s="234"/>
      <c r="B566" s="234"/>
      <c r="C566" s="234"/>
      <c r="D566" s="234"/>
      <c r="E566" s="234"/>
      <c r="F566" s="234"/>
      <c r="G566" s="234"/>
      <c r="H566" s="234"/>
      <c r="I566" s="234"/>
      <c r="J566" s="234"/>
    </row>
    <row r="567" spans="1:10" x14ac:dyDescent="0.2">
      <c r="A567" s="234"/>
      <c r="B567" s="234"/>
      <c r="C567" s="234"/>
      <c r="D567" s="234"/>
      <c r="E567" s="234"/>
      <c r="F567" s="234"/>
      <c r="G567" s="234"/>
      <c r="H567" s="234"/>
      <c r="I567" s="234"/>
      <c r="J567" s="234"/>
    </row>
    <row r="568" spans="1:10" x14ac:dyDescent="0.2">
      <c r="A568" s="234"/>
      <c r="B568" s="234"/>
      <c r="C568" s="234"/>
      <c r="D568" s="234"/>
      <c r="E568" s="234"/>
      <c r="F568" s="234"/>
      <c r="G568" s="234"/>
      <c r="H568" s="234"/>
      <c r="I568" s="234"/>
      <c r="J568" s="234"/>
    </row>
    <row r="569" spans="1:10" x14ac:dyDescent="0.2">
      <c r="A569" s="234"/>
      <c r="B569" s="234"/>
      <c r="C569" s="234"/>
      <c r="D569" s="234"/>
      <c r="E569" s="234"/>
      <c r="F569" s="234"/>
      <c r="G569" s="234"/>
      <c r="H569" s="234"/>
      <c r="I569" s="234"/>
      <c r="J569" s="234"/>
    </row>
    <row r="570" spans="1:10" x14ac:dyDescent="0.2">
      <c r="A570" s="234"/>
      <c r="B570" s="234"/>
      <c r="C570" s="234"/>
      <c r="D570" s="234"/>
      <c r="E570" s="234"/>
      <c r="F570" s="234"/>
      <c r="G570" s="234"/>
      <c r="H570" s="234"/>
      <c r="I570" s="234"/>
      <c r="J570" s="234"/>
    </row>
    <row r="571" spans="1:10" x14ac:dyDescent="0.2">
      <c r="A571" s="234"/>
      <c r="B571" s="234"/>
      <c r="C571" s="234"/>
      <c r="D571" s="234"/>
      <c r="E571" s="234"/>
      <c r="F571" s="234"/>
      <c r="G571" s="234"/>
      <c r="H571" s="234"/>
      <c r="I571" s="234"/>
      <c r="J571" s="234"/>
    </row>
    <row r="572" spans="1:10" x14ac:dyDescent="0.2">
      <c r="A572" s="234"/>
      <c r="B572" s="234"/>
      <c r="C572" s="234"/>
      <c r="D572" s="234"/>
      <c r="E572" s="234"/>
      <c r="F572" s="234"/>
      <c r="G572" s="234"/>
      <c r="H572" s="234"/>
      <c r="I572" s="234"/>
      <c r="J572" s="234"/>
    </row>
    <row r="573" spans="1:10" x14ac:dyDescent="0.2">
      <c r="A573" s="234"/>
      <c r="B573" s="234"/>
      <c r="C573" s="234"/>
      <c r="D573" s="234"/>
      <c r="E573" s="234"/>
      <c r="F573" s="234"/>
      <c r="G573" s="234"/>
      <c r="H573" s="234"/>
      <c r="I573" s="234"/>
      <c r="J573" s="234"/>
    </row>
    <row r="574" spans="1:10" x14ac:dyDescent="0.2">
      <c r="A574" s="234"/>
      <c r="B574" s="234"/>
      <c r="C574" s="234"/>
      <c r="D574" s="234"/>
      <c r="E574" s="234"/>
      <c r="F574" s="234"/>
      <c r="G574" s="234"/>
      <c r="H574" s="234"/>
      <c r="I574" s="234"/>
      <c r="J574" s="234"/>
    </row>
    <row r="575" spans="1:10" x14ac:dyDescent="0.2">
      <c r="A575" s="234"/>
      <c r="B575" s="234"/>
      <c r="C575" s="234"/>
      <c r="D575" s="234"/>
      <c r="E575" s="234"/>
      <c r="F575" s="234"/>
      <c r="G575" s="234"/>
      <c r="H575" s="234"/>
      <c r="I575" s="234"/>
      <c r="J575" s="234"/>
    </row>
    <row r="576" spans="1:10" x14ac:dyDescent="0.2">
      <c r="A576" s="234"/>
      <c r="B576" s="234"/>
      <c r="C576" s="234"/>
      <c r="D576" s="234"/>
      <c r="E576" s="234"/>
      <c r="F576" s="234"/>
      <c r="G576" s="234"/>
      <c r="H576" s="234"/>
      <c r="I576" s="234"/>
      <c r="J576" s="234"/>
    </row>
    <row r="577" spans="1:10" x14ac:dyDescent="0.2">
      <c r="A577" s="234"/>
      <c r="B577" s="234"/>
      <c r="C577" s="234"/>
      <c r="D577" s="234"/>
      <c r="E577" s="234"/>
      <c r="F577" s="234"/>
      <c r="G577" s="234"/>
      <c r="H577" s="234"/>
      <c r="I577" s="234"/>
      <c r="J577" s="234"/>
    </row>
    <row r="578" spans="1:10" x14ac:dyDescent="0.2">
      <c r="A578" s="234"/>
      <c r="B578" s="234"/>
      <c r="C578" s="234"/>
      <c r="D578" s="234"/>
      <c r="E578" s="234"/>
      <c r="F578" s="234"/>
      <c r="G578" s="234"/>
      <c r="H578" s="234"/>
      <c r="I578" s="234"/>
      <c r="J578" s="234"/>
    </row>
    <row r="579" spans="1:10" x14ac:dyDescent="0.2">
      <c r="A579" s="234"/>
      <c r="B579" s="234"/>
      <c r="C579" s="234"/>
      <c r="D579" s="234"/>
      <c r="E579" s="234"/>
      <c r="F579" s="234"/>
      <c r="G579" s="234"/>
      <c r="H579" s="234"/>
      <c r="I579" s="234"/>
      <c r="J579" s="234"/>
    </row>
    <row r="580" spans="1:10" x14ac:dyDescent="0.2">
      <c r="A580" s="234"/>
      <c r="B580" s="234"/>
      <c r="C580" s="234"/>
      <c r="D580" s="234"/>
      <c r="E580" s="234"/>
      <c r="F580" s="234"/>
      <c r="G580" s="234"/>
      <c r="H580" s="234"/>
      <c r="I580" s="234"/>
      <c r="J580" s="234"/>
    </row>
    <row r="581" spans="1:10" x14ac:dyDescent="0.2">
      <c r="A581" s="234"/>
      <c r="B581" s="234"/>
      <c r="C581" s="234"/>
      <c r="D581" s="234"/>
      <c r="E581" s="234"/>
      <c r="F581" s="234"/>
      <c r="G581" s="234"/>
      <c r="H581" s="234"/>
      <c r="I581" s="234"/>
      <c r="J581" s="234"/>
    </row>
    <row r="582" spans="1:10" x14ac:dyDescent="0.2">
      <c r="A582" s="234"/>
      <c r="B582" s="234"/>
      <c r="C582" s="234"/>
      <c r="D582" s="234"/>
      <c r="E582" s="234"/>
      <c r="F582" s="234"/>
      <c r="G582" s="234"/>
      <c r="H582" s="234"/>
      <c r="I582" s="234"/>
      <c r="J582" s="234"/>
    </row>
    <row r="583" spans="1:10" x14ac:dyDescent="0.2">
      <c r="A583" s="234"/>
      <c r="B583" s="234"/>
      <c r="C583" s="234"/>
      <c r="D583" s="234"/>
      <c r="E583" s="234"/>
      <c r="F583" s="234"/>
      <c r="G583" s="234"/>
      <c r="H583" s="234"/>
      <c r="I583" s="234"/>
      <c r="J583" s="234"/>
    </row>
    <row r="584" spans="1:10" x14ac:dyDescent="0.2">
      <c r="A584" s="234"/>
      <c r="B584" s="234"/>
      <c r="C584" s="234"/>
      <c r="D584" s="234"/>
      <c r="E584" s="234"/>
      <c r="F584" s="234"/>
      <c r="G584" s="234"/>
      <c r="H584" s="234"/>
      <c r="I584" s="234"/>
      <c r="J584" s="234"/>
    </row>
    <row r="585" spans="1:10" x14ac:dyDescent="0.2">
      <c r="A585" s="234"/>
      <c r="B585" s="234"/>
      <c r="C585" s="234"/>
      <c r="D585" s="234"/>
      <c r="E585" s="234"/>
      <c r="F585" s="234"/>
      <c r="G585" s="234"/>
      <c r="H585" s="234"/>
      <c r="I585" s="234"/>
      <c r="J585" s="234"/>
    </row>
    <row r="586" spans="1:10" x14ac:dyDescent="0.2">
      <c r="A586" s="234"/>
      <c r="B586" s="234"/>
      <c r="C586" s="234"/>
      <c r="D586" s="234"/>
      <c r="E586" s="234"/>
      <c r="F586" s="234"/>
      <c r="G586" s="234"/>
      <c r="H586" s="234"/>
      <c r="I586" s="234"/>
      <c r="J586" s="234"/>
    </row>
    <row r="587" spans="1:10" x14ac:dyDescent="0.2">
      <c r="A587" s="234"/>
      <c r="B587" s="234"/>
      <c r="C587" s="234"/>
      <c r="D587" s="234"/>
      <c r="E587" s="234"/>
      <c r="F587" s="234"/>
      <c r="G587" s="234"/>
      <c r="H587" s="234"/>
      <c r="I587" s="234"/>
      <c r="J587" s="234"/>
    </row>
    <row r="588" spans="1:10" x14ac:dyDescent="0.2">
      <c r="A588" s="234"/>
      <c r="B588" s="234"/>
      <c r="C588" s="234"/>
      <c r="D588" s="234"/>
      <c r="E588" s="234"/>
      <c r="F588" s="234"/>
      <c r="G588" s="234"/>
      <c r="H588" s="234"/>
      <c r="I588" s="234"/>
      <c r="J588" s="234"/>
    </row>
    <row r="589" spans="1:10" x14ac:dyDescent="0.2">
      <c r="A589" s="234"/>
      <c r="B589" s="234"/>
      <c r="C589" s="234"/>
      <c r="D589" s="234"/>
      <c r="E589" s="234"/>
      <c r="F589" s="234"/>
      <c r="G589" s="234"/>
      <c r="H589" s="234"/>
      <c r="I589" s="234"/>
      <c r="J589" s="234"/>
    </row>
    <row r="590" spans="1:10" x14ac:dyDescent="0.2">
      <c r="A590" s="234"/>
      <c r="B590" s="234"/>
      <c r="C590" s="234"/>
      <c r="D590" s="234"/>
      <c r="E590" s="234"/>
      <c r="F590" s="234"/>
      <c r="G590" s="234"/>
      <c r="H590" s="234"/>
      <c r="I590" s="234"/>
      <c r="J590" s="234"/>
    </row>
    <row r="591" spans="1:10" x14ac:dyDescent="0.2">
      <c r="A591" s="234"/>
      <c r="B591" s="234"/>
      <c r="C591" s="234"/>
      <c r="D591" s="234"/>
      <c r="E591" s="234"/>
      <c r="F591" s="234"/>
      <c r="G591" s="234"/>
      <c r="H591" s="234"/>
      <c r="I591" s="234"/>
      <c r="J591" s="234"/>
    </row>
    <row r="592" spans="1:10" x14ac:dyDescent="0.2">
      <c r="A592" s="234"/>
      <c r="B592" s="234"/>
      <c r="C592" s="234"/>
      <c r="D592" s="234"/>
      <c r="E592" s="234"/>
      <c r="F592" s="234"/>
      <c r="G592" s="234"/>
      <c r="H592" s="234"/>
      <c r="I592" s="234"/>
      <c r="J592" s="234"/>
    </row>
    <row r="593" spans="1:10" x14ac:dyDescent="0.2">
      <c r="A593" s="234"/>
      <c r="B593" s="234"/>
      <c r="C593" s="234"/>
      <c r="D593" s="234"/>
      <c r="E593" s="234"/>
      <c r="F593" s="234"/>
      <c r="G593" s="234"/>
      <c r="H593" s="234"/>
      <c r="I593" s="234"/>
      <c r="J593" s="234"/>
    </row>
    <row r="594" spans="1:10" x14ac:dyDescent="0.2">
      <c r="A594" s="234"/>
      <c r="B594" s="234"/>
      <c r="C594" s="234"/>
      <c r="D594" s="234"/>
      <c r="E594" s="234"/>
      <c r="F594" s="234"/>
      <c r="G594" s="234"/>
      <c r="H594" s="234"/>
      <c r="I594" s="234"/>
      <c r="J594" s="234"/>
    </row>
    <row r="595" spans="1:10" x14ac:dyDescent="0.2">
      <c r="A595" s="234"/>
      <c r="B595" s="234"/>
      <c r="C595" s="234"/>
      <c r="D595" s="234"/>
      <c r="E595" s="234"/>
      <c r="F595" s="234"/>
      <c r="G595" s="234"/>
      <c r="H595" s="234"/>
      <c r="I595" s="234"/>
      <c r="J595" s="234"/>
    </row>
    <row r="596" spans="1:10" x14ac:dyDescent="0.2">
      <c r="A596" s="234"/>
      <c r="B596" s="234"/>
      <c r="C596" s="234"/>
      <c r="D596" s="234"/>
      <c r="E596" s="234"/>
      <c r="F596" s="234"/>
      <c r="G596" s="234"/>
      <c r="H596" s="234"/>
      <c r="I596" s="234"/>
      <c r="J596" s="234"/>
    </row>
    <row r="597" spans="1:10" x14ac:dyDescent="0.2">
      <c r="A597" s="234"/>
      <c r="B597" s="234"/>
      <c r="C597" s="234"/>
      <c r="D597" s="234"/>
      <c r="E597" s="234"/>
      <c r="F597" s="234"/>
      <c r="G597" s="234"/>
      <c r="H597" s="234"/>
      <c r="I597" s="234"/>
      <c r="J597" s="234"/>
    </row>
    <row r="598" spans="1:10" x14ac:dyDescent="0.2">
      <c r="A598" s="234"/>
      <c r="B598" s="234"/>
      <c r="C598" s="234"/>
      <c r="D598" s="234"/>
      <c r="E598" s="234"/>
      <c r="F598" s="234"/>
      <c r="G598" s="234"/>
      <c r="H598" s="234"/>
      <c r="I598" s="234"/>
      <c r="J598" s="234"/>
    </row>
    <row r="599" spans="1:10" x14ac:dyDescent="0.2">
      <c r="A599" s="234"/>
      <c r="B599" s="234"/>
      <c r="C599" s="234"/>
      <c r="D599" s="234"/>
      <c r="E599" s="234"/>
      <c r="F599" s="234"/>
      <c r="G599" s="234"/>
      <c r="H599" s="234"/>
      <c r="I599" s="234"/>
      <c r="J599" s="234"/>
    </row>
    <row r="600" spans="1:10" x14ac:dyDescent="0.2">
      <c r="A600" s="234"/>
      <c r="B600" s="234"/>
      <c r="C600" s="234"/>
      <c r="D600" s="234"/>
      <c r="E600" s="234"/>
      <c r="F600" s="234"/>
      <c r="G600" s="234"/>
      <c r="H600" s="234"/>
      <c r="I600" s="234"/>
      <c r="J600" s="234"/>
    </row>
    <row r="601" spans="1:10" x14ac:dyDescent="0.2">
      <c r="A601" s="234"/>
      <c r="B601" s="234"/>
      <c r="C601" s="234"/>
      <c r="D601" s="234"/>
      <c r="E601" s="234"/>
      <c r="F601" s="234"/>
      <c r="G601" s="234"/>
      <c r="H601" s="234"/>
      <c r="I601" s="234"/>
      <c r="J601" s="234"/>
    </row>
    <row r="602" spans="1:10" x14ac:dyDescent="0.2">
      <c r="A602" s="234"/>
      <c r="B602" s="234"/>
      <c r="C602" s="234"/>
      <c r="D602" s="234"/>
      <c r="E602" s="234"/>
      <c r="F602" s="234"/>
      <c r="G602" s="234"/>
      <c r="H602" s="234"/>
      <c r="I602" s="234"/>
      <c r="J602" s="234"/>
    </row>
    <row r="603" spans="1:10" x14ac:dyDescent="0.2">
      <c r="A603" s="234"/>
      <c r="B603" s="234"/>
      <c r="C603" s="234"/>
      <c r="D603" s="234"/>
      <c r="E603" s="234"/>
      <c r="F603" s="234"/>
      <c r="G603" s="234"/>
      <c r="H603" s="234"/>
      <c r="I603" s="234"/>
      <c r="J603" s="234"/>
    </row>
    <row r="604" spans="1:10" x14ac:dyDescent="0.2">
      <c r="A604" s="234"/>
      <c r="B604" s="234"/>
      <c r="C604" s="234"/>
      <c r="D604" s="234"/>
      <c r="E604" s="234"/>
      <c r="F604" s="234"/>
      <c r="G604" s="234"/>
      <c r="H604" s="234"/>
      <c r="I604" s="234"/>
      <c r="J604" s="234"/>
    </row>
    <row r="605" spans="1:10" x14ac:dyDescent="0.2">
      <c r="A605" s="234"/>
      <c r="B605" s="234"/>
      <c r="C605" s="234"/>
      <c r="D605" s="234"/>
      <c r="E605" s="234"/>
      <c r="F605" s="234"/>
      <c r="G605" s="234"/>
      <c r="H605" s="234"/>
      <c r="I605" s="234"/>
      <c r="J605" s="234"/>
    </row>
    <row r="606" spans="1:10" x14ac:dyDescent="0.2">
      <c r="A606" s="234"/>
      <c r="B606" s="234"/>
      <c r="C606" s="234"/>
      <c r="D606" s="234"/>
      <c r="E606" s="234"/>
      <c r="F606" s="234"/>
      <c r="G606" s="234"/>
      <c r="H606" s="234"/>
      <c r="I606" s="234"/>
      <c r="J606" s="234"/>
    </row>
    <row r="607" spans="1:10" x14ac:dyDescent="0.2">
      <c r="A607" s="234"/>
      <c r="B607" s="234"/>
      <c r="C607" s="234"/>
      <c r="D607" s="234"/>
      <c r="E607" s="234"/>
      <c r="F607" s="234"/>
      <c r="G607" s="234"/>
      <c r="H607" s="234"/>
      <c r="I607" s="234"/>
      <c r="J607" s="234"/>
    </row>
    <row r="608" spans="1:10" x14ac:dyDescent="0.2">
      <c r="A608" s="234"/>
      <c r="B608" s="234"/>
      <c r="C608" s="234"/>
      <c r="D608" s="234"/>
      <c r="E608" s="234"/>
      <c r="F608" s="234"/>
      <c r="G608" s="234"/>
      <c r="H608" s="234"/>
      <c r="I608" s="234"/>
      <c r="J608" s="234"/>
    </row>
    <row r="609" spans="1:10" x14ac:dyDescent="0.2">
      <c r="A609" s="234"/>
      <c r="B609" s="234"/>
      <c r="C609" s="234"/>
      <c r="D609" s="234"/>
      <c r="E609" s="234"/>
      <c r="F609" s="234"/>
      <c r="G609" s="234"/>
      <c r="H609" s="234"/>
      <c r="I609" s="234"/>
      <c r="J609" s="234"/>
    </row>
    <row r="610" spans="1:10" x14ac:dyDescent="0.2">
      <c r="A610" s="234"/>
      <c r="B610" s="234"/>
      <c r="C610" s="234"/>
      <c r="D610" s="234"/>
      <c r="E610" s="234"/>
      <c r="F610" s="234"/>
      <c r="G610" s="234"/>
      <c r="H610" s="234"/>
      <c r="I610" s="234"/>
      <c r="J610" s="234"/>
    </row>
    <row r="611" spans="1:10" x14ac:dyDescent="0.2">
      <c r="A611" s="234"/>
      <c r="B611" s="234"/>
      <c r="C611" s="234"/>
      <c r="D611" s="234"/>
      <c r="E611" s="234"/>
      <c r="F611" s="234"/>
      <c r="G611" s="234"/>
      <c r="H611" s="234"/>
      <c r="I611" s="234"/>
      <c r="J611" s="234"/>
    </row>
    <row r="612" spans="1:10" x14ac:dyDescent="0.2">
      <c r="A612" s="234"/>
      <c r="B612" s="234"/>
      <c r="C612" s="234"/>
      <c r="D612" s="234"/>
      <c r="E612" s="234"/>
      <c r="F612" s="234"/>
      <c r="G612" s="234"/>
      <c r="H612" s="234"/>
      <c r="I612" s="234"/>
      <c r="J612" s="234"/>
    </row>
    <row r="613" spans="1:10" x14ac:dyDescent="0.2">
      <c r="A613" s="234"/>
      <c r="B613" s="234"/>
      <c r="C613" s="234"/>
      <c r="D613" s="234"/>
      <c r="E613" s="234"/>
      <c r="F613" s="234"/>
      <c r="G613" s="234"/>
      <c r="H613" s="234"/>
      <c r="I613" s="234"/>
      <c r="J613" s="234"/>
    </row>
    <row r="614" spans="1:10" x14ac:dyDescent="0.2">
      <c r="A614" s="234"/>
      <c r="B614" s="234"/>
      <c r="C614" s="234"/>
      <c r="D614" s="234"/>
      <c r="E614" s="234"/>
      <c r="F614" s="234"/>
      <c r="G614" s="234"/>
      <c r="H614" s="234"/>
      <c r="I614" s="234"/>
      <c r="J614" s="234"/>
    </row>
    <row r="615" spans="1:10" x14ac:dyDescent="0.2">
      <c r="A615" s="234"/>
      <c r="B615" s="234"/>
      <c r="C615" s="234"/>
      <c r="D615" s="234"/>
      <c r="E615" s="234"/>
      <c r="F615" s="234"/>
      <c r="G615" s="234"/>
      <c r="H615" s="234"/>
      <c r="I615" s="234"/>
      <c r="J615" s="234"/>
    </row>
    <row r="616" spans="1:10" x14ac:dyDescent="0.2">
      <c r="A616" s="234"/>
      <c r="B616" s="234"/>
      <c r="C616" s="234"/>
      <c r="D616" s="234"/>
      <c r="E616" s="234"/>
      <c r="F616" s="234"/>
      <c r="G616" s="234"/>
      <c r="H616" s="234"/>
      <c r="I616" s="234"/>
      <c r="J616" s="234"/>
    </row>
    <row r="617" spans="1:10" x14ac:dyDescent="0.2">
      <c r="A617" s="234"/>
      <c r="B617" s="234"/>
      <c r="C617" s="234"/>
      <c r="D617" s="234"/>
      <c r="E617" s="234"/>
      <c r="F617" s="234"/>
      <c r="G617" s="234"/>
      <c r="H617" s="234"/>
      <c r="I617" s="234"/>
      <c r="J617" s="234"/>
    </row>
    <row r="618" spans="1:10" x14ac:dyDescent="0.2">
      <c r="A618" s="234"/>
      <c r="B618" s="234"/>
      <c r="C618" s="234"/>
      <c r="D618" s="234"/>
      <c r="E618" s="234"/>
      <c r="F618" s="234"/>
      <c r="G618" s="234"/>
      <c r="H618" s="234"/>
      <c r="I618" s="234"/>
      <c r="J618" s="234"/>
    </row>
    <row r="619" spans="1:10" x14ac:dyDescent="0.2">
      <c r="A619" s="234"/>
      <c r="B619" s="234"/>
      <c r="C619" s="234"/>
      <c r="D619" s="234"/>
      <c r="E619" s="234"/>
      <c r="F619" s="234"/>
      <c r="G619" s="234"/>
      <c r="H619" s="234"/>
      <c r="I619" s="234"/>
      <c r="J619" s="234"/>
    </row>
    <row r="620" spans="1:10" x14ac:dyDescent="0.2">
      <c r="A620" s="234"/>
      <c r="B620" s="234"/>
      <c r="C620" s="234"/>
      <c r="D620" s="234"/>
      <c r="E620" s="234"/>
      <c r="F620" s="234"/>
      <c r="G620" s="234"/>
      <c r="H620" s="234"/>
      <c r="I620" s="234"/>
      <c r="J620" s="234"/>
    </row>
    <row r="621" spans="1:10" x14ac:dyDescent="0.2">
      <c r="A621" s="234"/>
      <c r="B621" s="234"/>
      <c r="C621" s="234"/>
      <c r="D621" s="234"/>
      <c r="E621" s="234"/>
      <c r="F621" s="234"/>
      <c r="G621" s="234"/>
      <c r="H621" s="234"/>
      <c r="I621" s="234"/>
      <c r="J621" s="234"/>
    </row>
    <row r="622" spans="1:10" x14ac:dyDescent="0.2">
      <c r="A622" s="234"/>
      <c r="B622" s="234"/>
      <c r="C622" s="234"/>
      <c r="D622" s="234"/>
      <c r="E622" s="234"/>
      <c r="F622" s="234"/>
      <c r="G622" s="234"/>
      <c r="H622" s="234"/>
      <c r="I622" s="234"/>
      <c r="J622" s="234"/>
    </row>
    <row r="623" spans="1:10" x14ac:dyDescent="0.2">
      <c r="A623" s="234"/>
      <c r="B623" s="234"/>
      <c r="C623" s="234"/>
      <c r="D623" s="234"/>
      <c r="E623" s="234"/>
      <c r="F623" s="234"/>
      <c r="G623" s="234"/>
      <c r="H623" s="234"/>
      <c r="I623" s="234"/>
      <c r="J623" s="234"/>
    </row>
    <row r="624" spans="1:10" x14ac:dyDescent="0.2">
      <c r="A624" s="234"/>
      <c r="B624" s="234"/>
      <c r="C624" s="234"/>
      <c r="D624" s="234"/>
      <c r="E624" s="234"/>
      <c r="F624" s="234"/>
      <c r="G624" s="234"/>
      <c r="H624" s="234"/>
      <c r="I624" s="234"/>
      <c r="J624" s="234"/>
    </row>
    <row r="625" spans="1:10" x14ac:dyDescent="0.2">
      <c r="A625" s="234"/>
      <c r="B625" s="234"/>
      <c r="C625" s="234"/>
      <c r="D625" s="234"/>
      <c r="E625" s="234"/>
      <c r="F625" s="234"/>
      <c r="G625" s="234"/>
      <c r="H625" s="234"/>
      <c r="I625" s="234"/>
      <c r="J625" s="234"/>
    </row>
    <row r="626" spans="1:10" x14ac:dyDescent="0.2">
      <c r="A626" s="234"/>
      <c r="B626" s="234"/>
      <c r="C626" s="234"/>
      <c r="D626" s="234"/>
      <c r="E626" s="234"/>
      <c r="F626" s="234"/>
      <c r="G626" s="234"/>
      <c r="H626" s="234"/>
      <c r="I626" s="234"/>
      <c r="J626" s="234"/>
    </row>
    <row r="627" spans="1:10" x14ac:dyDescent="0.2">
      <c r="A627" s="234"/>
      <c r="B627" s="234"/>
      <c r="C627" s="234"/>
      <c r="D627" s="234"/>
      <c r="E627" s="234"/>
      <c r="F627" s="234"/>
      <c r="G627" s="234"/>
      <c r="H627" s="234"/>
      <c r="I627" s="234"/>
      <c r="J627" s="234"/>
    </row>
    <row r="628" spans="1:10" x14ac:dyDescent="0.2">
      <c r="A628" s="234"/>
      <c r="B628" s="234"/>
      <c r="C628" s="234"/>
      <c r="D628" s="234"/>
      <c r="E628" s="234"/>
      <c r="F628" s="234"/>
      <c r="G628" s="234"/>
      <c r="H628" s="234"/>
      <c r="I628" s="234"/>
      <c r="J628" s="234"/>
    </row>
    <row r="629" spans="1:10" x14ac:dyDescent="0.2">
      <c r="A629" s="234"/>
      <c r="B629" s="234"/>
      <c r="C629" s="234"/>
      <c r="D629" s="234"/>
      <c r="E629" s="234"/>
      <c r="F629" s="234"/>
      <c r="G629" s="234"/>
      <c r="H629" s="234"/>
      <c r="I629" s="234"/>
      <c r="J629" s="234"/>
    </row>
    <row r="630" spans="1:10" x14ac:dyDescent="0.2">
      <c r="A630" s="234"/>
      <c r="B630" s="234"/>
      <c r="C630" s="234"/>
      <c r="D630" s="234"/>
      <c r="E630" s="234"/>
      <c r="F630" s="234"/>
      <c r="G630" s="234"/>
      <c r="H630" s="234"/>
      <c r="I630" s="234"/>
      <c r="J630" s="234"/>
    </row>
    <row r="631" spans="1:10" x14ac:dyDescent="0.2">
      <c r="A631" s="234"/>
      <c r="B631" s="234"/>
      <c r="C631" s="234"/>
      <c r="D631" s="234"/>
      <c r="E631" s="234"/>
      <c r="F631" s="234"/>
      <c r="G631" s="234"/>
      <c r="H631" s="234"/>
      <c r="I631" s="234"/>
      <c r="J631" s="234"/>
    </row>
    <row r="632" spans="1:10" x14ac:dyDescent="0.2">
      <c r="A632" s="234"/>
      <c r="B632" s="234"/>
      <c r="C632" s="234"/>
      <c r="D632" s="234"/>
      <c r="E632" s="234"/>
      <c r="F632" s="234"/>
      <c r="G632" s="234"/>
      <c r="H632" s="234"/>
      <c r="I632" s="234"/>
      <c r="J632" s="234"/>
    </row>
    <row r="633" spans="1:10" x14ac:dyDescent="0.2">
      <c r="A633" s="234"/>
      <c r="B633" s="234"/>
      <c r="C633" s="234"/>
      <c r="D633" s="234"/>
      <c r="E633" s="234"/>
      <c r="F633" s="234"/>
      <c r="G633" s="234"/>
      <c r="H633" s="234"/>
      <c r="I633" s="234"/>
      <c r="J633" s="234"/>
    </row>
    <row r="634" spans="1:10" x14ac:dyDescent="0.2">
      <c r="A634" s="234"/>
      <c r="B634" s="234"/>
      <c r="C634" s="234"/>
      <c r="D634" s="234"/>
      <c r="E634" s="234"/>
      <c r="F634" s="234"/>
      <c r="G634" s="234"/>
      <c r="H634" s="234"/>
      <c r="I634" s="234"/>
      <c r="J634" s="234"/>
    </row>
  </sheetData>
  <sheetProtection algorithmName="SHA-512" hashValue="n/zSt6amPiJWPC32RNR8+XSzfjvCBN+Uc123y5B/VoIi50SEe4k/8wGmJBS1TPrlDqaUvz7TIkQvNtgZ9rNR9Q==" saltValue="mgkyLByY1GSe8ZBxGDZSXw==" spinCount="100000" sheet="1" objects="1" scenarios="1"/>
  <mergeCells count="36">
    <mergeCell ref="C143:D143"/>
    <mergeCell ref="E143:F143"/>
    <mergeCell ref="G143:H143"/>
    <mergeCell ref="I143:J143"/>
    <mergeCell ref="C166:D166"/>
    <mergeCell ref="E166:F166"/>
    <mergeCell ref="G166:H166"/>
    <mergeCell ref="I166:J166"/>
    <mergeCell ref="C122:D122"/>
    <mergeCell ref="E122:F122"/>
    <mergeCell ref="G122:H122"/>
    <mergeCell ref="I122:J122"/>
    <mergeCell ref="C88:D88"/>
    <mergeCell ref="E88:F88"/>
    <mergeCell ref="G88:H88"/>
    <mergeCell ref="I88:J88"/>
    <mergeCell ref="C112:D112"/>
    <mergeCell ref="E112:F112"/>
    <mergeCell ref="G112:H112"/>
    <mergeCell ref="I112:J112"/>
    <mergeCell ref="C47:D47"/>
    <mergeCell ref="E47:F47"/>
    <mergeCell ref="G47:H47"/>
    <mergeCell ref="I47:J47"/>
    <mergeCell ref="C68:D68"/>
    <mergeCell ref="E68:F68"/>
    <mergeCell ref="G68:H68"/>
    <mergeCell ref="I68:J68"/>
    <mergeCell ref="C4:D4"/>
    <mergeCell ref="E4:F4"/>
    <mergeCell ref="G4:H4"/>
    <mergeCell ref="I4:J4"/>
    <mergeCell ref="C23:D23"/>
    <mergeCell ref="E23:F23"/>
    <mergeCell ref="G23:H23"/>
    <mergeCell ref="I23:J23"/>
  </mergeCells>
  <phoneticPr fontId="1" type="noConversion"/>
  <pageMargins left="0.7" right="0.7" top="0.75" bottom="0.75" header="0.3" footer="0.3"/>
  <pageSetup paperSize="9" orientation="portrait" horizontalDpi="0" verticalDpi="0"/>
  <ignoredErrors>
    <ignoredError sqref="G316:H316 C272:H288 G247:H254 C222:I222 C202:I218 C220:I220 C219:E219 G219:I219 C290:H293 C289:E289 G289:H289" formula="1"/>
    <ignoredError sqref="G333:H333 G264:H264" formulaRange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6F336-D4F0-E145-8719-87BC48F588A2}">
  <dimension ref="B1:X80"/>
  <sheetViews>
    <sheetView showGridLines="0" topLeftCell="K48" workbookViewId="0">
      <selection activeCell="W55" sqref="W55"/>
    </sheetView>
  </sheetViews>
  <sheetFormatPr baseColWidth="10" defaultRowHeight="16" x14ac:dyDescent="0.2"/>
  <cols>
    <col min="1" max="1" width="3.6640625" customWidth="1"/>
    <col min="5" max="5" width="15.1640625" bestFit="1" customWidth="1"/>
    <col min="7" max="7" width="5" customWidth="1"/>
    <col min="11" max="11" width="14.5" bestFit="1" customWidth="1"/>
    <col min="13" max="13" width="4" customWidth="1"/>
    <col min="17" max="17" width="15.1640625" bestFit="1" customWidth="1"/>
    <col min="19" max="19" width="4.1640625" customWidth="1"/>
    <col min="23" max="23" width="15.1640625" bestFit="1" customWidth="1"/>
  </cols>
  <sheetData>
    <row r="1" spans="2:24" ht="10" customHeight="1" x14ac:dyDescent="0.2"/>
    <row r="2" spans="2:24" x14ac:dyDescent="0.2">
      <c r="B2" s="655">
        <v>2018</v>
      </c>
      <c r="C2" s="656" t="s">
        <v>563</v>
      </c>
      <c r="D2" s="656" t="s">
        <v>564</v>
      </c>
      <c r="E2" s="656" t="s">
        <v>565</v>
      </c>
      <c r="F2" s="657" t="s">
        <v>566</v>
      </c>
      <c r="H2" s="658" t="s">
        <v>567</v>
      </c>
      <c r="I2" s="656" t="s">
        <v>563</v>
      </c>
      <c r="J2" s="656" t="s">
        <v>568</v>
      </c>
      <c r="K2" s="656" t="s">
        <v>569</v>
      </c>
      <c r="L2" s="656" t="s">
        <v>566</v>
      </c>
      <c r="N2" s="659">
        <v>2018</v>
      </c>
      <c r="O2" s="656" t="s">
        <v>563</v>
      </c>
      <c r="P2" s="656" t="s">
        <v>564</v>
      </c>
      <c r="Q2" s="656" t="s">
        <v>565</v>
      </c>
      <c r="R2" s="656" t="s">
        <v>566</v>
      </c>
      <c r="T2" s="660">
        <v>2023</v>
      </c>
      <c r="U2" s="656" t="s">
        <v>563</v>
      </c>
      <c r="V2" s="656" t="s">
        <v>564</v>
      </c>
      <c r="W2" s="656" t="s">
        <v>565</v>
      </c>
      <c r="X2" s="656" t="s">
        <v>566</v>
      </c>
    </row>
    <row r="3" spans="2:24" x14ac:dyDescent="0.2">
      <c r="B3" s="661" t="s">
        <v>570</v>
      </c>
      <c r="C3" s="662">
        <v>17236.8</v>
      </c>
      <c r="D3" s="662">
        <v>1533.75</v>
      </c>
      <c r="E3" s="663">
        <f>C3/D3</f>
        <v>11.238337408312958</v>
      </c>
      <c r="F3" s="664">
        <f>C3*(HLOOKUP($B$2,'CO2 equivalenten'!$E$4:$Q$107,(MATCH("DIE",'CO2 equivalenten'!$C$4:$C$107,0))))</f>
        <v>57.036571199999997</v>
      </c>
      <c r="H3" s="665">
        <v>2019</v>
      </c>
      <c r="I3" s="662">
        <v>26568.799999999999</v>
      </c>
      <c r="J3" s="662">
        <v>60290</v>
      </c>
      <c r="K3" s="663">
        <f>J3/I3</f>
        <v>2.269202974917949</v>
      </c>
      <c r="L3" s="663">
        <f>I3*(HLOOKUP(H3,'CO2 equivalenten'!$E$4:$Q$107,(MATCH("DIE",'CO2 equivalenten'!$C$4:$C$107,0))))</f>
        <v>87.916159199999996</v>
      </c>
      <c r="N3" s="666" t="s">
        <v>571</v>
      </c>
      <c r="O3" s="662">
        <v>7597.6</v>
      </c>
      <c r="P3" s="662">
        <v>1269.5</v>
      </c>
      <c r="Q3" s="663">
        <f>O3/P3</f>
        <v>5.9847183930681371</v>
      </c>
      <c r="R3" s="663">
        <f>O3*(HLOOKUP($N$2,'CO2 equivalenten'!$E$4:$Q$107,(MATCH("DIE",'CO2 equivalenten'!$C$4:$C$107,0))))</f>
        <v>25.1404584</v>
      </c>
      <c r="T3" s="666" t="s">
        <v>572</v>
      </c>
      <c r="U3" s="663">
        <v>894.1</v>
      </c>
      <c r="V3" s="663">
        <v>278.5</v>
      </c>
      <c r="W3" s="663">
        <f>U3/V3</f>
        <v>3.2104129263913825</v>
      </c>
      <c r="X3" s="663">
        <f>U3*(HLOOKUP($T$2,'CO2 equivalenten'!$E$4:$Q$107,(MATCH("DIE",'CO2 equivalenten'!$C$4:$C$107,0))))</f>
        <v>2.9111895999999997</v>
      </c>
    </row>
    <row r="4" spans="2:24" x14ac:dyDescent="0.2">
      <c r="B4" s="661" t="s">
        <v>573</v>
      </c>
      <c r="C4" s="662">
        <v>21579.599999999999</v>
      </c>
      <c r="D4" s="662">
        <v>1585.5</v>
      </c>
      <c r="E4" s="663">
        <f t="shared" ref="E4:E6" si="0">C4/D4</f>
        <v>13.610596026490065</v>
      </c>
      <c r="F4" s="664">
        <f>C4*(HLOOKUP($B$2,'CO2 equivalenten'!$E$4:$Q$107,(MATCH("DIE",'CO2 equivalenten'!$C$4:$C$107,0))))</f>
        <v>71.406896399999994</v>
      </c>
      <c r="H4" s="665">
        <v>2020</v>
      </c>
      <c r="I4" s="662">
        <v>35485.300000000003</v>
      </c>
      <c r="J4" s="662">
        <v>77984</v>
      </c>
      <c r="K4" s="663">
        <f t="shared" ref="K4:K8" si="1">J4/I4</f>
        <v>2.1976424040377283</v>
      </c>
      <c r="L4" s="663">
        <f>I4*(HLOOKUP(H4,'CO2 equivalenten'!$E$4:$Q$107,(MATCH("DIE",'CO2 equivalenten'!$C$4:$C$107,0))))</f>
        <v>117.4208577</v>
      </c>
      <c r="N4" s="666" t="s">
        <v>574</v>
      </c>
      <c r="O4" s="662">
        <v>15105.4</v>
      </c>
      <c r="P4" s="662">
        <v>2178.5</v>
      </c>
      <c r="Q4" s="663">
        <f t="shared" ref="Q4:Q15" si="2">O4/P4</f>
        <v>6.9338535689694742</v>
      </c>
      <c r="R4" s="663">
        <f>O4*(HLOOKUP($N$2,'CO2 equivalenten'!$E$4:$Q$107,(MATCH("DIE",'CO2 equivalenten'!$C$4:$C$107,0))))</f>
        <v>49.983768599999998</v>
      </c>
      <c r="T4" s="666" t="s">
        <v>575</v>
      </c>
      <c r="U4" s="663">
        <v>10037</v>
      </c>
      <c r="V4" s="663">
        <v>1516</v>
      </c>
      <c r="W4" s="663">
        <f t="shared" ref="W4:W16" si="3">U4/V4</f>
        <v>6.6207124010554086</v>
      </c>
      <c r="X4" s="663">
        <f>U4*(HLOOKUP($T$2,'CO2 equivalenten'!$E$4:$Q$107,(MATCH("DIE",'CO2 equivalenten'!$C$4:$C$107,0))))</f>
        <v>32.680471999999995</v>
      </c>
    </row>
    <row r="5" spans="2:24" x14ac:dyDescent="0.2">
      <c r="B5" s="661" t="s">
        <v>567</v>
      </c>
      <c r="C5" s="662">
        <v>26406.7</v>
      </c>
      <c r="D5" s="662">
        <v>2100.5</v>
      </c>
      <c r="E5" s="663">
        <f t="shared" si="0"/>
        <v>12.571625803380147</v>
      </c>
      <c r="F5" s="664">
        <f>C5*(HLOOKUP($B$2,'CO2 equivalenten'!$E$4:$Q$107,(MATCH("DIE",'CO2 equivalenten'!$C$4:$C$107,0))))</f>
        <v>87.379770300000004</v>
      </c>
      <c r="H5" s="665">
        <v>2021</v>
      </c>
      <c r="I5" s="662">
        <v>37283.300000000003</v>
      </c>
      <c r="J5" s="662">
        <v>80808</v>
      </c>
      <c r="K5" s="663">
        <f t="shared" si="1"/>
        <v>2.1674047093470801</v>
      </c>
      <c r="L5" s="663">
        <f>I5*(HLOOKUP(H5,'CO2 equivalenten'!$E$4:$Q$107,(MATCH("DIE",'CO2 equivalenten'!$C$4:$C$107,0))))</f>
        <v>121.61812460000002</v>
      </c>
      <c r="N5" s="666" t="s">
        <v>572</v>
      </c>
      <c r="O5" s="662">
        <v>12907.6</v>
      </c>
      <c r="P5" s="662">
        <v>1599.75</v>
      </c>
      <c r="Q5" s="663">
        <f t="shared" si="2"/>
        <v>8.0685107047976246</v>
      </c>
      <c r="R5" s="663">
        <f>O5*(HLOOKUP($N$2,'CO2 equivalenten'!$E$4:$Q$107,(MATCH("DIE",'CO2 equivalenten'!$C$4:$C$107,0))))</f>
        <v>42.711248400000002</v>
      </c>
      <c r="T5" s="666" t="s">
        <v>576</v>
      </c>
      <c r="U5" s="663">
        <v>14691.2</v>
      </c>
      <c r="V5" s="663">
        <v>1698</v>
      </c>
      <c r="W5" s="663">
        <f t="shared" si="3"/>
        <v>8.65206124852768</v>
      </c>
      <c r="X5" s="663">
        <f>U5*(HLOOKUP($T$2,'CO2 equivalenten'!$E$4:$Q$107,(MATCH("DIE",'CO2 equivalenten'!$C$4:$C$107,0))))</f>
        <v>47.834547199999996</v>
      </c>
    </row>
    <row r="6" spans="2:24" x14ac:dyDescent="0.2">
      <c r="B6" s="661" t="s">
        <v>577</v>
      </c>
      <c r="C6" s="662">
        <v>19186.400000000001</v>
      </c>
      <c r="D6" s="662">
        <v>1557</v>
      </c>
      <c r="E6" s="663">
        <f t="shared" si="0"/>
        <v>12.32267180475273</v>
      </c>
      <c r="F6" s="664">
        <f>C6*(HLOOKUP($B$2,'CO2 equivalenten'!$E$4:$Q$107,(MATCH("DIE",'CO2 equivalenten'!$C$4:$C$107,0))))</f>
        <v>63.4877976</v>
      </c>
      <c r="H6" s="665">
        <v>2022</v>
      </c>
      <c r="I6" s="662">
        <v>26987</v>
      </c>
      <c r="J6" s="662">
        <v>1894</v>
      </c>
      <c r="K6" s="663">
        <f t="shared" si="1"/>
        <v>7.0181939452328895E-2</v>
      </c>
      <c r="L6" s="663">
        <f>I6*(HLOOKUP(H6,'CO2 equivalenten'!$E$4:$Q$107,(MATCH("DIE",'CO2 equivalenten'!$C$4:$C$107,0))))</f>
        <v>88.031593999999998</v>
      </c>
      <c r="N6" s="666" t="s">
        <v>575</v>
      </c>
      <c r="O6" s="662">
        <v>18918.3</v>
      </c>
      <c r="P6" s="662">
        <v>2112</v>
      </c>
      <c r="Q6" s="663">
        <f t="shared" si="2"/>
        <v>8.9575284090909086</v>
      </c>
      <c r="R6" s="663">
        <f>O6*(HLOOKUP($N$2,'CO2 equivalenten'!$E$4:$Q$107,(MATCH("DIE",'CO2 equivalenten'!$C$4:$C$107,0))))</f>
        <v>62.600654699999993</v>
      </c>
      <c r="T6" s="666" t="s">
        <v>578</v>
      </c>
      <c r="U6" s="663">
        <v>12749.1</v>
      </c>
      <c r="V6" s="663">
        <v>1954</v>
      </c>
      <c r="W6" s="663">
        <f t="shared" si="3"/>
        <v>6.524616171954964</v>
      </c>
      <c r="X6" s="663">
        <f>U6*(HLOOKUP($T$2,'CO2 equivalenten'!$E$4:$Q$107,(MATCH("DIE",'CO2 equivalenten'!$C$4:$C$107,0))))</f>
        <v>41.511069599999999</v>
      </c>
    </row>
    <row r="7" spans="2:24" x14ac:dyDescent="0.2">
      <c r="B7" s="667" t="s">
        <v>31</v>
      </c>
      <c r="C7" s="668">
        <f>SUM(C3:C6)</f>
        <v>84409.5</v>
      </c>
      <c r="D7" s="668">
        <f>SUM(D3:D6)</f>
        <v>6776.75</v>
      </c>
      <c r="E7" s="669">
        <f>C7/D7</f>
        <v>12.45574943741469</v>
      </c>
      <c r="F7" s="669">
        <f>SUM(F3:F6)</f>
        <v>279.3110355</v>
      </c>
      <c r="H7" s="665">
        <v>2023</v>
      </c>
      <c r="I7" s="662">
        <v>29272.5</v>
      </c>
      <c r="J7" s="662">
        <v>2071.75</v>
      </c>
      <c r="K7" s="663">
        <f t="shared" si="1"/>
        <v>7.0774617815355712E-2</v>
      </c>
      <c r="L7" s="663">
        <f>I7*(HLOOKUP(H7,'CO2 equivalenten'!$E$4:$Q$107,(MATCH("DIE",'CO2 equivalenten'!$C$4:$C$107,0))))</f>
        <v>95.31125999999999</v>
      </c>
      <c r="N7" s="666" t="s">
        <v>579</v>
      </c>
      <c r="O7" s="662">
        <v>10111.9</v>
      </c>
      <c r="P7" s="662">
        <v>1732.75</v>
      </c>
      <c r="Q7" s="663">
        <f t="shared" si="2"/>
        <v>5.83575241667869</v>
      </c>
      <c r="R7" s="663">
        <f>O7*(HLOOKUP($N$2,'CO2 equivalenten'!$E$4:$Q$107,(MATCH("DIE",'CO2 equivalenten'!$C$4:$C$107,0))))</f>
        <v>33.460277099999999</v>
      </c>
      <c r="T7" s="666" t="s">
        <v>580</v>
      </c>
      <c r="U7" s="663">
        <v>10057.5</v>
      </c>
      <c r="V7" s="663">
        <v>951.5</v>
      </c>
      <c r="W7" s="663">
        <f t="shared" si="3"/>
        <v>10.57015239096164</v>
      </c>
      <c r="X7" s="663">
        <f>U7*(HLOOKUP($T$2,'CO2 equivalenten'!$E$4:$Q$107,(MATCH("DIE",'CO2 equivalenten'!$C$4:$C$107,0))))</f>
        <v>32.747219999999999</v>
      </c>
    </row>
    <row r="8" spans="2:24" x14ac:dyDescent="0.2">
      <c r="H8" s="665">
        <v>2024</v>
      </c>
      <c r="I8" s="662">
        <v>27634.5</v>
      </c>
      <c r="J8" s="662">
        <v>1895.08</v>
      </c>
      <c r="K8" s="663">
        <f t="shared" si="1"/>
        <v>6.8576598092963501E-2</v>
      </c>
      <c r="L8" s="663">
        <f>I8*(HLOOKUP(H8,'CO2 equivalenten'!$E$4:$Q$107,(MATCH("DIE",'CO2 equivalenten'!$C$4:$C$107,0))))</f>
        <v>89.977931999999996</v>
      </c>
      <c r="N8" s="666" t="s">
        <v>580</v>
      </c>
      <c r="O8" s="662">
        <v>17747.900000000001</v>
      </c>
      <c r="P8" s="662">
        <v>2109.25</v>
      </c>
      <c r="Q8" s="663">
        <f t="shared" si="2"/>
        <v>8.4143178855043264</v>
      </c>
      <c r="R8" s="663">
        <f>O8*(HLOOKUP($N$2,'CO2 equivalenten'!$E$4:$Q$107,(MATCH("DIE",'CO2 equivalenten'!$C$4:$C$107,0))))</f>
        <v>58.727801100000001</v>
      </c>
      <c r="T8" s="666" t="s">
        <v>581</v>
      </c>
      <c r="U8" s="663">
        <v>13069.6</v>
      </c>
      <c r="V8" s="663">
        <v>1900.75</v>
      </c>
      <c r="W8" s="663">
        <f t="shared" si="3"/>
        <v>6.8760226226489545</v>
      </c>
      <c r="X8" s="663">
        <f>U8*(HLOOKUP($T$2,'CO2 equivalenten'!$E$4:$Q$107,(MATCH("DIE",'CO2 equivalenten'!$C$4:$C$107,0))))</f>
        <v>42.5546176</v>
      </c>
    </row>
    <row r="9" spans="2:24" x14ac:dyDescent="0.2">
      <c r="B9" s="660">
        <v>2019</v>
      </c>
      <c r="C9" s="656" t="s">
        <v>563</v>
      </c>
      <c r="D9" s="656" t="s">
        <v>564</v>
      </c>
      <c r="E9" s="656" t="s">
        <v>565</v>
      </c>
      <c r="F9" s="656" t="s">
        <v>566</v>
      </c>
      <c r="H9" s="665">
        <v>2025</v>
      </c>
      <c r="I9" s="662">
        <v>33028</v>
      </c>
      <c r="J9" s="662">
        <v>2234.58</v>
      </c>
      <c r="K9" s="663">
        <f t="shared" ref="K9" si="4">J9/I9</f>
        <v>6.7657139396875371E-2</v>
      </c>
      <c r="L9" s="663">
        <f>I9*(HLOOKUP(H9,'CO2 equivalenten'!$E$4:$Q$107,(MATCH("DIE",'CO2 equivalenten'!$C$4:$C$107,0))))</f>
        <v>107.374028</v>
      </c>
      <c r="N9" s="666" t="s">
        <v>581</v>
      </c>
      <c r="O9" s="662">
        <v>17373.8</v>
      </c>
      <c r="P9" s="662">
        <v>2244</v>
      </c>
      <c r="Q9" s="663">
        <f t="shared" si="2"/>
        <v>7.7423351158645275</v>
      </c>
      <c r="R9" s="663">
        <f>O9*(HLOOKUP($N$2,'CO2 equivalenten'!$E$4:$Q$107,(MATCH("DIE",'CO2 equivalenten'!$C$4:$C$107,0))))</f>
        <v>57.489904199999998</v>
      </c>
      <c r="T9" s="666" t="s">
        <v>582</v>
      </c>
      <c r="U9" s="663">
        <v>18310.900000000001</v>
      </c>
      <c r="V9" s="663">
        <v>2172.5</v>
      </c>
      <c r="W9" s="663">
        <f t="shared" si="3"/>
        <v>8.4284925201380911</v>
      </c>
      <c r="X9" s="663">
        <f>U9*(HLOOKUP($T$2,'CO2 equivalenten'!$E$4:$Q$107,(MATCH("DIE",'CO2 equivalenten'!$C$4:$C$107,0))))</f>
        <v>59.620290400000002</v>
      </c>
    </row>
    <row r="10" spans="2:24" x14ac:dyDescent="0.2">
      <c r="B10" s="666" t="s">
        <v>570</v>
      </c>
      <c r="C10" s="662">
        <v>14831</v>
      </c>
      <c r="D10" s="662">
        <v>1411.25</v>
      </c>
      <c r="E10" s="663">
        <f t="shared" ref="E10:E13" si="5">C10/D10</f>
        <v>10.509123117803366</v>
      </c>
      <c r="F10" s="663">
        <f>C10*(HLOOKUP($B$9,'CO2 equivalenten'!$E$4:$Q$107,(MATCH("DIE",'CO2 equivalenten'!$C$4:$C$107,0))))</f>
        <v>49.075778999999997</v>
      </c>
      <c r="N10" s="666" t="s">
        <v>582</v>
      </c>
      <c r="O10" s="662">
        <v>21301.5</v>
      </c>
      <c r="P10" s="662">
        <v>2500.75</v>
      </c>
      <c r="Q10" s="663">
        <f t="shared" si="2"/>
        <v>8.5180445866240131</v>
      </c>
      <c r="R10" s="663">
        <f>O10*(HLOOKUP($N$2,'CO2 equivalenten'!$E$4:$Q$107,(MATCH("DIE",'CO2 equivalenten'!$C$4:$C$107,0))))</f>
        <v>70.486663499999992</v>
      </c>
      <c r="T10" s="666" t="s">
        <v>583</v>
      </c>
      <c r="U10" s="663">
        <v>13132.9</v>
      </c>
      <c r="V10" s="663">
        <v>1687</v>
      </c>
      <c r="W10" s="663">
        <f t="shared" si="3"/>
        <v>7.7847658565500888</v>
      </c>
      <c r="X10" s="663">
        <f>U10*(HLOOKUP($T$2,'CO2 equivalenten'!$E$4:$Q$107,(MATCH("DIE",'CO2 equivalenten'!$C$4:$C$107,0))))</f>
        <v>42.760722399999999</v>
      </c>
    </row>
    <row r="11" spans="2:24" x14ac:dyDescent="0.2">
      <c r="B11" s="666" t="s">
        <v>573</v>
      </c>
      <c r="C11" s="662">
        <v>21098.799999999999</v>
      </c>
      <c r="D11" s="662">
        <v>1210.5</v>
      </c>
      <c r="E11" s="663">
        <f t="shared" si="5"/>
        <v>17.429822387443206</v>
      </c>
      <c r="F11" s="663">
        <f>C11*(HLOOKUP($B$9,'CO2 equivalenten'!$E$4:$Q$107,(MATCH("DIE",'CO2 equivalenten'!$C$4:$C$107,0))))</f>
        <v>69.815929199999999</v>
      </c>
      <c r="N11" s="666" t="s">
        <v>583</v>
      </c>
      <c r="O11" s="662">
        <v>20225.400000000001</v>
      </c>
      <c r="P11" s="662">
        <v>2441.5</v>
      </c>
      <c r="Q11" s="663">
        <f t="shared" si="2"/>
        <v>8.2840057341798072</v>
      </c>
      <c r="R11" s="663">
        <f>O11*(HLOOKUP($N$2,'CO2 equivalenten'!$E$4:$Q$107,(MATCH("DIE",'CO2 equivalenten'!$C$4:$C$107,0))))</f>
        <v>66.925848600000009</v>
      </c>
      <c r="T11" s="666" t="s">
        <v>584</v>
      </c>
      <c r="U11" s="663">
        <v>11498.4</v>
      </c>
      <c r="V11" s="663">
        <v>1742</v>
      </c>
      <c r="W11" s="663">
        <f t="shared" si="3"/>
        <v>6.6006888633754306</v>
      </c>
      <c r="X11" s="663">
        <f>U11*(HLOOKUP($T$2,'CO2 equivalenten'!$E$4:$Q$107,(MATCH("DIE",'CO2 equivalenten'!$C$4:$C$107,0))))</f>
        <v>37.438790399999995</v>
      </c>
    </row>
    <row r="12" spans="2:24" x14ac:dyDescent="0.2">
      <c r="B12" s="666" t="s">
        <v>585</v>
      </c>
      <c r="C12" s="662">
        <v>22102.2</v>
      </c>
      <c r="D12" s="662">
        <v>2028</v>
      </c>
      <c r="E12" s="663">
        <f t="shared" si="5"/>
        <v>10.898520710059172</v>
      </c>
      <c r="F12" s="663">
        <f>C12*(HLOOKUP($B$9,'CO2 equivalenten'!$E$4:$Q$107,(MATCH("DIE",'CO2 equivalenten'!$C$4:$C$107,0))))</f>
        <v>73.136179799999994</v>
      </c>
      <c r="N12" s="666" t="s">
        <v>586</v>
      </c>
      <c r="O12" s="662">
        <v>3394.1</v>
      </c>
      <c r="P12" s="662">
        <v>300.5</v>
      </c>
      <c r="Q12" s="663">
        <f t="shared" si="2"/>
        <v>11.294841930116473</v>
      </c>
      <c r="R12" s="663">
        <f>O12*(HLOOKUP($N$2,'CO2 equivalenten'!$E$4:$Q$107,(MATCH("DIE",'CO2 equivalenten'!$C$4:$C$107,0))))</f>
        <v>11.2310769</v>
      </c>
      <c r="T12" s="666" t="s">
        <v>586</v>
      </c>
      <c r="U12" s="663">
        <v>15331.7</v>
      </c>
      <c r="V12" s="663">
        <v>1750.75</v>
      </c>
      <c r="W12" s="663">
        <f t="shared" si="3"/>
        <v>8.7572183349992869</v>
      </c>
      <c r="X12" s="663">
        <f>U12*(HLOOKUP($T$2,'CO2 equivalenten'!$E$4:$Q$107,(MATCH("DIE",'CO2 equivalenten'!$C$4:$C$107,0))))</f>
        <v>49.920015200000002</v>
      </c>
    </row>
    <row r="13" spans="2:24" x14ac:dyDescent="0.2">
      <c r="B13" s="666" t="s">
        <v>577</v>
      </c>
      <c r="C13" s="662">
        <v>20629.599999999999</v>
      </c>
      <c r="D13" s="662">
        <v>2016.5</v>
      </c>
      <c r="E13" s="663">
        <f t="shared" si="5"/>
        <v>10.230399206545995</v>
      </c>
      <c r="F13" s="663">
        <f>C13*(HLOOKUP($B$9,'CO2 equivalenten'!$E$4:$Q$107,(MATCH("DIE",'CO2 equivalenten'!$C$4:$C$107,0))))</f>
        <v>68.263346399999989</v>
      </c>
      <c r="N13" s="666" t="s">
        <v>587</v>
      </c>
      <c r="O13" s="662">
        <v>1434.9</v>
      </c>
      <c r="P13" s="662">
        <v>141</v>
      </c>
      <c r="Q13" s="663">
        <f t="shared" si="2"/>
        <v>10.176595744680851</v>
      </c>
      <c r="R13" s="663">
        <f>O13*(HLOOKUP($N$2,'CO2 equivalenten'!$E$4:$Q$107,(MATCH("DIE",'CO2 equivalenten'!$C$4:$C$107,0))))</f>
        <v>4.7480840999999998</v>
      </c>
      <c r="T13" s="666" t="s">
        <v>587</v>
      </c>
      <c r="U13" s="663">
        <v>16979.7</v>
      </c>
      <c r="V13" s="663">
        <v>1985.25</v>
      </c>
      <c r="W13" s="663">
        <f t="shared" si="3"/>
        <v>8.552927842840953</v>
      </c>
      <c r="X13" s="663">
        <f>U13*(HLOOKUP($T$2,'CO2 equivalenten'!$E$4:$Q$107,(MATCH("DIE",'CO2 equivalenten'!$C$4:$C$107,0))))</f>
        <v>55.2859032</v>
      </c>
    </row>
    <row r="14" spans="2:24" x14ac:dyDescent="0.2">
      <c r="B14" s="670" t="s">
        <v>31</v>
      </c>
      <c r="C14" s="668">
        <f>SUM(C10:C13)</f>
        <v>78661.600000000006</v>
      </c>
      <c r="D14" s="668">
        <f>SUM(D10:D13)</f>
        <v>6666.25</v>
      </c>
      <c r="E14" s="669">
        <f>C14/D14</f>
        <v>11.799977498593663</v>
      </c>
      <c r="F14" s="669">
        <f>SUM(F10:F13)</f>
        <v>260.29123440000001</v>
      </c>
      <c r="N14" s="666" t="s">
        <v>588</v>
      </c>
      <c r="O14" s="662">
        <v>3249.3</v>
      </c>
      <c r="P14" s="662">
        <v>336.25</v>
      </c>
      <c r="Q14" s="663">
        <f t="shared" si="2"/>
        <v>9.6633457249070638</v>
      </c>
      <c r="R14" s="663">
        <f>O14*(HLOOKUP($N$2,'CO2 equivalenten'!$E$4:$Q$107,(MATCH("DIE",'CO2 equivalenten'!$C$4:$C$107,0))))</f>
        <v>10.7519337</v>
      </c>
      <c r="T14" s="666" t="s">
        <v>588</v>
      </c>
      <c r="U14" s="663">
        <v>16579</v>
      </c>
      <c r="V14" s="663">
        <v>1880.5</v>
      </c>
      <c r="W14" s="663">
        <f t="shared" si="3"/>
        <v>8.8162722680138259</v>
      </c>
      <c r="X14" s="663">
        <f>U14*(HLOOKUP($T$2,'CO2 equivalenten'!$E$4:$Q$107,(MATCH("DIE",'CO2 equivalenten'!$C$4:$C$107,0))))</f>
        <v>53.981223999999997</v>
      </c>
    </row>
    <row r="15" spans="2:24" x14ac:dyDescent="0.2">
      <c r="N15" s="670" t="s">
        <v>31</v>
      </c>
      <c r="O15" s="668">
        <f>SUM(O3:O14)</f>
        <v>149367.69999999998</v>
      </c>
      <c r="P15" s="668">
        <f>SUM(P3:P14)</f>
        <v>18965.75</v>
      </c>
      <c r="Q15" s="669">
        <f t="shared" si="2"/>
        <v>7.8756547987820138</v>
      </c>
      <c r="R15" s="669">
        <f>SUM(R3:R14)</f>
        <v>494.25771929999996</v>
      </c>
      <c r="T15" s="666" t="s">
        <v>589</v>
      </c>
      <c r="U15" s="663">
        <v>14104.9</v>
      </c>
      <c r="V15" s="663">
        <v>1829.75</v>
      </c>
      <c r="W15" s="663">
        <f t="shared" si="3"/>
        <v>7.7086487225030744</v>
      </c>
      <c r="X15" s="663">
        <f>U15*(HLOOKUP($T$2,'CO2 equivalenten'!$E$4:$Q$107,(MATCH("DIE",'CO2 equivalenten'!$C$4:$C$107,0))))</f>
        <v>45.925554399999996</v>
      </c>
    </row>
    <row r="16" spans="2:24" x14ac:dyDescent="0.2">
      <c r="B16" s="660">
        <v>2020</v>
      </c>
      <c r="C16" s="656" t="s">
        <v>563</v>
      </c>
      <c r="D16" s="656" t="s">
        <v>564</v>
      </c>
      <c r="E16" s="656" t="s">
        <v>565</v>
      </c>
      <c r="F16" s="656" t="s">
        <v>566</v>
      </c>
      <c r="T16" s="666" t="s">
        <v>590</v>
      </c>
      <c r="U16" s="663">
        <v>16244.8</v>
      </c>
      <c r="V16" s="663">
        <v>1835</v>
      </c>
      <c r="W16" s="663">
        <f t="shared" si="3"/>
        <v>8.8527520435967304</v>
      </c>
      <c r="X16" s="663">
        <f>U16*(HLOOKUP($T$2,'CO2 equivalenten'!$E$4:$Q$107,(MATCH("DIE",'CO2 equivalenten'!$C$4:$C$107,0))))</f>
        <v>52.893068799999995</v>
      </c>
    </row>
    <row r="17" spans="2:24" x14ac:dyDescent="0.2">
      <c r="B17" s="666" t="s">
        <v>570</v>
      </c>
      <c r="C17" s="662">
        <v>11292.9</v>
      </c>
      <c r="D17" s="662">
        <v>1157</v>
      </c>
      <c r="E17" s="663">
        <f t="shared" ref="E17:E20" si="6">C17/D17</f>
        <v>9.7605012964563524</v>
      </c>
      <c r="F17" s="663">
        <f>C17*(HLOOKUP($B$16,'CO2 equivalenten'!$E$4:$Q$107,(MATCH("DIE",'CO2 equivalenten'!$C$4:$C$107,0))))</f>
        <v>37.368206099999995</v>
      </c>
      <c r="N17" s="660">
        <v>2019</v>
      </c>
      <c r="O17" s="656" t="s">
        <v>563</v>
      </c>
      <c r="P17" s="656" t="s">
        <v>564</v>
      </c>
      <c r="Q17" s="656" t="s">
        <v>565</v>
      </c>
      <c r="R17" s="656" t="s">
        <v>566</v>
      </c>
      <c r="T17" s="670" t="s">
        <v>31</v>
      </c>
      <c r="U17" s="668">
        <f>SUM(U3:U16)</f>
        <v>183680.79999999996</v>
      </c>
      <c r="V17" s="668">
        <f>SUM(V3:V16)</f>
        <v>23181.5</v>
      </c>
      <c r="W17" s="669">
        <f>U17/V17</f>
        <v>7.92359424541121</v>
      </c>
      <c r="X17" s="669">
        <f>SUM(X3:X16)</f>
        <v>598.06468480000012</v>
      </c>
    </row>
    <row r="18" spans="2:24" x14ac:dyDescent="0.2">
      <c r="B18" s="666" t="s">
        <v>573</v>
      </c>
      <c r="C18" s="662">
        <v>23404.7</v>
      </c>
      <c r="D18" s="662">
        <v>1653.75</v>
      </c>
      <c r="E18" s="663">
        <f t="shared" si="6"/>
        <v>14.152501889644748</v>
      </c>
      <c r="F18" s="663">
        <f>C18*(HLOOKUP($B$16,'CO2 equivalenten'!$E$4:$Q$107,(MATCH("DIE",'CO2 equivalenten'!$C$4:$C$107,0))))</f>
        <v>77.446152299999994</v>
      </c>
      <c r="N18" s="666" t="s">
        <v>571</v>
      </c>
      <c r="O18" s="662">
        <v>78.900000000000006</v>
      </c>
      <c r="P18" s="662">
        <v>0</v>
      </c>
      <c r="Q18" s="663">
        <v>0</v>
      </c>
      <c r="R18" s="663">
        <f>O18*(HLOOKUP($N$17,'CO2 equivalenten'!$E$4:$Q$107,(MATCH("DIE",'CO2 equivalenten'!$C$4:$C$107,0))))</f>
        <v>0.26108009999999998</v>
      </c>
    </row>
    <row r="19" spans="2:24" x14ac:dyDescent="0.2">
      <c r="B19" s="666" t="s">
        <v>585</v>
      </c>
      <c r="C19" s="662">
        <v>21675.200000000001</v>
      </c>
      <c r="D19" s="662">
        <v>1989.5</v>
      </c>
      <c r="E19" s="663">
        <f t="shared" si="6"/>
        <v>10.894797687861272</v>
      </c>
      <c r="F19" s="663">
        <f>C19*(HLOOKUP($B$16,'CO2 equivalenten'!$E$4:$Q$107,(MATCH("DIE",'CO2 equivalenten'!$C$4:$C$107,0))))</f>
        <v>71.723236799999995</v>
      </c>
      <c r="N19" s="666" t="s">
        <v>574</v>
      </c>
      <c r="O19" s="662">
        <v>8980.7999999999993</v>
      </c>
      <c r="P19" s="662">
        <v>1316.25</v>
      </c>
      <c r="Q19" s="663">
        <f>O19/P19</f>
        <v>6.8230199430199425</v>
      </c>
      <c r="R19" s="663">
        <f>O19*(HLOOKUP($N$17,'CO2 equivalenten'!$E$4:$Q$107,(MATCH("DIE",'CO2 equivalenten'!$C$4:$C$107,0))))</f>
        <v>29.717467199999998</v>
      </c>
      <c r="T19" s="660">
        <v>2024</v>
      </c>
      <c r="U19" s="656" t="s">
        <v>563</v>
      </c>
      <c r="V19" s="656" t="s">
        <v>564</v>
      </c>
      <c r="W19" s="656" t="s">
        <v>565</v>
      </c>
      <c r="X19" s="656" t="s">
        <v>566</v>
      </c>
    </row>
    <row r="20" spans="2:24" x14ac:dyDescent="0.2">
      <c r="B20" s="666" t="s">
        <v>577</v>
      </c>
      <c r="C20" s="662">
        <v>20629.599999999999</v>
      </c>
      <c r="D20" s="662">
        <v>2016.5</v>
      </c>
      <c r="E20" s="663">
        <f t="shared" si="6"/>
        <v>10.230399206545995</v>
      </c>
      <c r="F20" s="663">
        <f>C20*(HLOOKUP($B$16,'CO2 equivalenten'!$E$4:$Q$107,(MATCH("DIE",'CO2 equivalenten'!$C$4:$C$107,0))))</f>
        <v>68.263346399999989</v>
      </c>
      <c r="N20" s="666" t="s">
        <v>572</v>
      </c>
      <c r="O20" s="662">
        <v>8256.1</v>
      </c>
      <c r="P20" s="662">
        <v>1378</v>
      </c>
      <c r="Q20" s="663">
        <f t="shared" ref="Q20:Q32" si="7">O20/P20</f>
        <v>5.9913642960812776</v>
      </c>
      <c r="R20" s="663">
        <f>O20*(HLOOKUP($N$17,'CO2 equivalenten'!$E$4:$Q$107,(MATCH("DIE",'CO2 equivalenten'!$C$4:$C$107,0))))</f>
        <v>27.319434900000001</v>
      </c>
      <c r="T20" s="666" t="s">
        <v>572</v>
      </c>
      <c r="U20" s="662">
        <v>1116.5999999999999</v>
      </c>
      <c r="V20" s="662">
        <v>354.25</v>
      </c>
      <c r="W20" s="663">
        <f t="shared" ref="W20:W34" si="8">U20/V20</f>
        <v>3.1520112914608327</v>
      </c>
      <c r="X20" s="663">
        <f>U20*(HLOOKUP($T$19,'CO2 equivalenten'!$E$4:$Q$107,(MATCH("DIE",'CO2 equivalenten'!$C$4:$C$107,0))))</f>
        <v>3.6356495999999994</v>
      </c>
    </row>
    <row r="21" spans="2:24" x14ac:dyDescent="0.2">
      <c r="B21" s="670" t="s">
        <v>31</v>
      </c>
      <c r="C21" s="668">
        <f>SUM(C17:C20)</f>
        <v>77002.399999999994</v>
      </c>
      <c r="D21" s="668">
        <f>SUM(D17:D20)</f>
        <v>6816.75</v>
      </c>
      <c r="E21" s="669">
        <f>C21/D21</f>
        <v>11.296057505409468</v>
      </c>
      <c r="F21" s="669">
        <f>SUM(F17:F20)</f>
        <v>254.80094159999999</v>
      </c>
      <c r="N21" s="666" t="s">
        <v>575</v>
      </c>
      <c r="O21" s="662">
        <v>12110.1</v>
      </c>
      <c r="P21" s="662">
        <v>1699.25</v>
      </c>
      <c r="Q21" s="663">
        <f t="shared" si="7"/>
        <v>7.1267323819332065</v>
      </c>
      <c r="R21" s="663">
        <f>O21*(HLOOKUP($N$17,'CO2 equivalenten'!$E$4:$Q$107,(MATCH("DIE",'CO2 equivalenten'!$C$4:$C$107,0))))</f>
        <v>40.072320900000001</v>
      </c>
      <c r="T21" s="666" t="s">
        <v>575</v>
      </c>
      <c r="U21" s="662">
        <v>6607.6</v>
      </c>
      <c r="V21" s="662">
        <v>711.76</v>
      </c>
      <c r="W21" s="663">
        <f t="shared" si="8"/>
        <v>9.2834663369675177</v>
      </c>
      <c r="X21" s="663">
        <f>U21*(HLOOKUP($T$19,'CO2 equivalenten'!$E$4:$Q$107,(MATCH("DIE",'CO2 equivalenten'!$C$4:$C$107,0))))</f>
        <v>21.514345599999999</v>
      </c>
    </row>
    <row r="22" spans="2:24" x14ac:dyDescent="0.2">
      <c r="N22" s="666" t="s">
        <v>579</v>
      </c>
      <c r="O22" s="662">
        <v>2602.8000000000002</v>
      </c>
      <c r="P22" s="662">
        <v>506.25</v>
      </c>
      <c r="Q22" s="663">
        <f t="shared" si="7"/>
        <v>5.1413333333333338</v>
      </c>
      <c r="R22" s="663">
        <f>O22*(HLOOKUP($N$17,'CO2 equivalenten'!$E$4:$Q$107,(MATCH("DIE",'CO2 equivalenten'!$C$4:$C$107,0))))</f>
        <v>8.6126652000000004</v>
      </c>
      <c r="T22" s="666" t="s">
        <v>576</v>
      </c>
      <c r="U22" s="662">
        <v>13061.1</v>
      </c>
      <c r="V22" s="662">
        <v>1659</v>
      </c>
      <c r="W22" s="663">
        <f t="shared" si="8"/>
        <v>7.872875226039783</v>
      </c>
      <c r="X22" s="663">
        <f>U22*(HLOOKUP($T$19,'CO2 equivalenten'!$E$4:$Q$107,(MATCH("DIE",'CO2 equivalenten'!$C$4:$C$107,0))))</f>
        <v>42.526941600000001</v>
      </c>
    </row>
    <row r="23" spans="2:24" x14ac:dyDescent="0.2">
      <c r="B23" s="660">
        <v>2021</v>
      </c>
      <c r="C23" s="656" t="s">
        <v>563</v>
      </c>
      <c r="D23" s="656" t="s">
        <v>564</v>
      </c>
      <c r="E23" s="656" t="s">
        <v>565</v>
      </c>
      <c r="F23" s="656" t="s">
        <v>566</v>
      </c>
      <c r="N23" s="666" t="s">
        <v>580</v>
      </c>
      <c r="O23" s="662">
        <v>13785.7</v>
      </c>
      <c r="P23" s="662">
        <v>1788.75</v>
      </c>
      <c r="Q23" s="663">
        <f t="shared" si="7"/>
        <v>7.7068902865129285</v>
      </c>
      <c r="R23" s="663">
        <f>O23*(HLOOKUP($N$17,'CO2 equivalenten'!$E$4:$Q$107,(MATCH("DIE",'CO2 equivalenten'!$C$4:$C$107,0))))</f>
        <v>45.616881300000003</v>
      </c>
      <c r="T23" s="666" t="s">
        <v>578</v>
      </c>
      <c r="U23" s="662">
        <v>15009.4</v>
      </c>
      <c r="V23" s="662">
        <v>2084.67</v>
      </c>
      <c r="W23" s="663">
        <f t="shared" si="8"/>
        <v>7.1998925489405989</v>
      </c>
      <c r="X23" s="663">
        <f>U23*(HLOOKUP($T$19,'CO2 equivalenten'!$E$4:$Q$107,(MATCH("DIE",'CO2 equivalenten'!$C$4:$C$107,0))))</f>
        <v>48.870606399999993</v>
      </c>
    </row>
    <row r="24" spans="2:24" x14ac:dyDescent="0.2">
      <c r="B24" s="666" t="s">
        <v>570</v>
      </c>
      <c r="C24" s="662">
        <v>14529.6</v>
      </c>
      <c r="D24" s="662">
        <v>1338.75</v>
      </c>
      <c r="E24" s="663">
        <f t="shared" ref="E24:E28" si="9">C24/D24</f>
        <v>10.85310924369748</v>
      </c>
      <c r="F24" s="663">
        <f>C24*(HLOOKUP($B$23,'CO2 equivalenten'!$E$4:$Q$107,(MATCH("DIE",'CO2 equivalenten'!$C$4:$C$107,0))))</f>
        <v>47.395555200000004</v>
      </c>
      <c r="N24" s="666" t="s">
        <v>581</v>
      </c>
      <c r="O24" s="662">
        <v>16486.400000000001</v>
      </c>
      <c r="P24" s="662">
        <v>2027.25</v>
      </c>
      <c r="Q24" s="663">
        <f t="shared" si="7"/>
        <v>8.132396103095326</v>
      </c>
      <c r="R24" s="663">
        <f>O24*(HLOOKUP($N$17,'CO2 equivalenten'!$E$4:$Q$107,(MATCH("DIE",'CO2 equivalenten'!$C$4:$C$107,0))))</f>
        <v>54.5534976</v>
      </c>
      <c r="T24" s="666" t="s">
        <v>580</v>
      </c>
      <c r="U24" s="662">
        <v>17121.3</v>
      </c>
      <c r="V24" s="662">
        <v>1854.91</v>
      </c>
      <c r="W24" s="663">
        <f t="shared" si="8"/>
        <v>9.2302591500396236</v>
      </c>
      <c r="X24" s="663">
        <f>U24*(HLOOKUP($T$19,'CO2 equivalenten'!$E$4:$Q$107,(MATCH("DIE",'CO2 equivalenten'!$C$4:$C$107,0))))</f>
        <v>55.746952799999995</v>
      </c>
    </row>
    <row r="25" spans="2:24" x14ac:dyDescent="0.2">
      <c r="B25" s="666" t="s">
        <v>573</v>
      </c>
      <c r="C25" s="662">
        <v>22700.1</v>
      </c>
      <c r="D25" s="662">
        <v>1601.75</v>
      </c>
      <c r="E25" s="663">
        <f t="shared" si="9"/>
        <v>14.172061807398157</v>
      </c>
      <c r="F25" s="663">
        <f>C25*(HLOOKUP($B$23,'CO2 equivalenten'!$E$4:$Q$107,(MATCH("DIE",'CO2 equivalenten'!$C$4:$C$107,0))))</f>
        <v>74.0477262</v>
      </c>
      <c r="N25" s="666" t="s">
        <v>582</v>
      </c>
      <c r="O25" s="662">
        <v>20663.900000000001</v>
      </c>
      <c r="P25" s="662">
        <v>2363.25</v>
      </c>
      <c r="Q25" s="663">
        <f t="shared" si="7"/>
        <v>8.7438485136993549</v>
      </c>
      <c r="R25" s="663">
        <f>O25*(HLOOKUP($N$17,'CO2 equivalenten'!$E$4:$Q$107,(MATCH("DIE",'CO2 equivalenten'!$C$4:$C$107,0))))</f>
        <v>68.376845099999997</v>
      </c>
      <c r="T25" s="666" t="s">
        <v>581</v>
      </c>
      <c r="U25" s="662">
        <v>9786.7000000000007</v>
      </c>
      <c r="V25" s="662">
        <v>1329.75</v>
      </c>
      <c r="W25" s="663">
        <f t="shared" si="8"/>
        <v>7.3598044745252871</v>
      </c>
      <c r="X25" s="663">
        <f>U25*(HLOOKUP($T$19,'CO2 equivalenten'!$E$4:$Q$107,(MATCH("DIE",'CO2 equivalenten'!$C$4:$C$107,0))))</f>
        <v>31.865495200000002</v>
      </c>
    </row>
    <row r="26" spans="2:24" x14ac:dyDescent="0.2">
      <c r="B26" s="666" t="s">
        <v>585</v>
      </c>
      <c r="C26" s="662">
        <v>20956.5</v>
      </c>
      <c r="D26" s="662">
        <v>1888.5</v>
      </c>
      <c r="E26" s="663">
        <f t="shared" si="9"/>
        <v>11.096902303415408</v>
      </c>
      <c r="F26" s="663">
        <f>C26*(HLOOKUP($B$23,'CO2 equivalenten'!$E$4:$Q$107,(MATCH("DIE",'CO2 equivalenten'!$C$4:$C$107,0))))</f>
        <v>68.360103000000009</v>
      </c>
      <c r="N26" s="666" t="s">
        <v>583</v>
      </c>
      <c r="O26" s="662">
        <v>18710.8</v>
      </c>
      <c r="P26" s="662">
        <v>1993</v>
      </c>
      <c r="Q26" s="663">
        <f t="shared" si="7"/>
        <v>9.3882589061716004</v>
      </c>
      <c r="R26" s="663">
        <f>O26*(HLOOKUP($N$17,'CO2 equivalenten'!$E$4:$Q$107,(MATCH("DIE",'CO2 equivalenten'!$C$4:$C$107,0))))</f>
        <v>61.914037199999996</v>
      </c>
      <c r="T26" s="666" t="s">
        <v>582</v>
      </c>
      <c r="U26" s="662">
        <v>20605.599999999999</v>
      </c>
      <c r="V26" s="662">
        <v>2272.27</v>
      </c>
      <c r="W26" s="663">
        <f t="shared" si="8"/>
        <v>9.0682885396541781</v>
      </c>
      <c r="X26" s="663">
        <f>U26*(HLOOKUP($T$19,'CO2 equivalenten'!$E$4:$Q$107,(MATCH("DIE",'CO2 equivalenten'!$C$4:$C$107,0))))</f>
        <v>67.091833599999987</v>
      </c>
    </row>
    <row r="27" spans="2:24" x14ac:dyDescent="0.2">
      <c r="B27" s="666" t="s">
        <v>577</v>
      </c>
      <c r="C27" s="662">
        <v>5860.3</v>
      </c>
      <c r="D27" s="662">
        <v>576.5</v>
      </c>
      <c r="E27" s="663">
        <f t="shared" si="9"/>
        <v>10.165307892454466</v>
      </c>
      <c r="F27" s="663">
        <f>C27*(HLOOKUP($B$23,'CO2 equivalenten'!$E$4:$Q$107,(MATCH("DIE",'CO2 equivalenten'!$C$4:$C$107,0))))</f>
        <v>19.1162986</v>
      </c>
      <c r="N27" s="666" t="s">
        <v>586</v>
      </c>
      <c r="O27" s="662">
        <v>19569.099999999999</v>
      </c>
      <c r="P27" s="662">
        <v>2107.75</v>
      </c>
      <c r="Q27" s="663">
        <f t="shared" si="7"/>
        <v>9.2843553552366256</v>
      </c>
      <c r="R27" s="663">
        <f>O27*(HLOOKUP($N$17,'CO2 equivalenten'!$E$4:$Q$107,(MATCH("DIE",'CO2 equivalenten'!$C$4:$C$107,0))))</f>
        <v>64.754151899999997</v>
      </c>
      <c r="T27" s="666" t="s">
        <v>583</v>
      </c>
      <c r="U27" s="662">
        <v>13215.9</v>
      </c>
      <c r="V27" s="662">
        <v>1672.25</v>
      </c>
      <c r="W27" s="663">
        <f t="shared" si="8"/>
        <v>7.9030647331439674</v>
      </c>
      <c r="X27" s="663">
        <f>U27*(HLOOKUP($T$19,'CO2 equivalenten'!$E$4:$Q$107,(MATCH("DIE",'CO2 equivalenten'!$C$4:$C$107,0))))</f>
        <v>43.030970399999994</v>
      </c>
    </row>
    <row r="28" spans="2:24" x14ac:dyDescent="0.2">
      <c r="B28" s="666" t="s">
        <v>591</v>
      </c>
      <c r="C28" s="662">
        <v>14364.2</v>
      </c>
      <c r="D28" s="662">
        <v>1665.5</v>
      </c>
      <c r="E28" s="663">
        <f t="shared" si="9"/>
        <v>8.6245571900330233</v>
      </c>
      <c r="F28" s="663">
        <f>C28*(HLOOKUP($B$23,'CO2 equivalenten'!$E$4:$Q$107,(MATCH("DIE",'CO2 equivalenten'!$C$4:$C$107,0))))</f>
        <v>46.856020400000006</v>
      </c>
      <c r="N28" s="666" t="s">
        <v>587</v>
      </c>
      <c r="O28" s="662">
        <v>17754.8</v>
      </c>
      <c r="P28" s="662">
        <v>2171</v>
      </c>
      <c r="Q28" s="663">
        <f t="shared" si="7"/>
        <v>8.1781667434362042</v>
      </c>
      <c r="R28" s="663">
        <f>O28*(HLOOKUP($N$17,'CO2 equivalenten'!$E$4:$Q$107,(MATCH("DIE",'CO2 equivalenten'!$C$4:$C$107,0))))</f>
        <v>58.750633199999996</v>
      </c>
      <c r="T28" s="666" t="s">
        <v>584</v>
      </c>
      <c r="U28" s="662">
        <v>14904.1</v>
      </c>
      <c r="V28" s="662">
        <v>2188.92</v>
      </c>
      <c r="W28" s="663">
        <f t="shared" si="8"/>
        <v>6.8088829194305864</v>
      </c>
      <c r="X28" s="663">
        <f>U28*(HLOOKUP($T$19,'CO2 equivalenten'!$E$4:$Q$107,(MATCH("DIE",'CO2 equivalenten'!$C$4:$C$107,0))))</f>
        <v>48.5277496</v>
      </c>
    </row>
    <row r="29" spans="2:24" x14ac:dyDescent="0.2">
      <c r="B29" s="670" t="s">
        <v>31</v>
      </c>
      <c r="C29" s="668">
        <f>SUM(C24:C28)</f>
        <v>78410.7</v>
      </c>
      <c r="D29" s="668">
        <f>SUM(D24:D28)</f>
        <v>7071</v>
      </c>
      <c r="E29" s="669">
        <f>C29/D29</f>
        <v>11.089053882053458</v>
      </c>
      <c r="F29" s="669">
        <f>SUM(F24:F28)</f>
        <v>255.77570340000003</v>
      </c>
      <c r="N29" s="666" t="s">
        <v>588</v>
      </c>
      <c r="O29" s="662">
        <v>18902.599999999999</v>
      </c>
      <c r="P29" s="662">
        <v>2004</v>
      </c>
      <c r="Q29" s="663">
        <f t="shared" si="7"/>
        <v>9.4324351297405187</v>
      </c>
      <c r="R29" s="663">
        <f>O29*(HLOOKUP($N$17,'CO2 equivalenten'!$E$4:$Q$107,(MATCH("DIE",'CO2 equivalenten'!$C$4:$C$107,0))))</f>
        <v>62.548703399999994</v>
      </c>
      <c r="T29" s="666" t="s">
        <v>586</v>
      </c>
      <c r="U29" s="662">
        <v>17684.7</v>
      </c>
      <c r="V29" s="662">
        <v>1891.75</v>
      </c>
      <c r="W29" s="663">
        <f t="shared" si="8"/>
        <v>9.3483282674772035</v>
      </c>
      <c r="X29" s="663">
        <f>U29*(HLOOKUP($T$19,'CO2 equivalenten'!$E$4:$Q$107,(MATCH("DIE",'CO2 equivalenten'!$C$4:$C$107,0))))</f>
        <v>57.581383199999998</v>
      </c>
    </row>
    <row r="30" spans="2:24" x14ac:dyDescent="0.2">
      <c r="N30" s="666" t="s">
        <v>585</v>
      </c>
      <c r="O30" s="662">
        <v>8033.8</v>
      </c>
      <c r="P30" s="662">
        <v>1043.5</v>
      </c>
      <c r="Q30" s="663">
        <f t="shared" si="7"/>
        <v>7.6988979396262582</v>
      </c>
      <c r="R30" s="663">
        <f>O30*(HLOOKUP($N$17,'CO2 equivalenten'!$E$4:$Q$107,(MATCH("DIE",'CO2 equivalenten'!$C$4:$C$107,0))))</f>
        <v>26.583844199999998</v>
      </c>
      <c r="T30" s="666" t="s">
        <v>587</v>
      </c>
      <c r="U30" s="662">
        <v>17969.8</v>
      </c>
      <c r="V30" s="662">
        <v>2041.53</v>
      </c>
      <c r="W30" s="663">
        <f t="shared" si="8"/>
        <v>8.8021238972731233</v>
      </c>
      <c r="X30" s="663">
        <f>U30*(HLOOKUP($T$19,'CO2 equivalenten'!$E$4:$Q$107,(MATCH("DIE",'CO2 equivalenten'!$C$4:$C$107,0))))</f>
        <v>58.509668799999993</v>
      </c>
    </row>
    <row r="31" spans="2:24" x14ac:dyDescent="0.2">
      <c r="B31" s="660">
        <v>2022</v>
      </c>
      <c r="C31" s="656" t="s">
        <v>563</v>
      </c>
      <c r="D31" s="656" t="s">
        <v>564</v>
      </c>
      <c r="E31" s="656" t="s">
        <v>565</v>
      </c>
      <c r="F31" s="656" t="s">
        <v>566</v>
      </c>
      <c r="N31" s="666" t="s">
        <v>592</v>
      </c>
      <c r="O31" s="662">
        <v>5392.2</v>
      </c>
      <c r="P31" s="662">
        <v>605.5</v>
      </c>
      <c r="Q31" s="663">
        <f t="shared" si="7"/>
        <v>8.9053674649050372</v>
      </c>
      <c r="R31" s="663">
        <f>O31*(HLOOKUP($N$17,'CO2 equivalenten'!$E$4:$Q$107,(MATCH("DIE",'CO2 equivalenten'!$C$4:$C$107,0))))</f>
        <v>17.842789799999998</v>
      </c>
      <c r="T31" s="666" t="s">
        <v>588</v>
      </c>
      <c r="U31" s="662">
        <v>16763.900000000001</v>
      </c>
      <c r="V31" s="662">
        <v>1964</v>
      </c>
      <c r="W31" s="663">
        <f t="shared" si="8"/>
        <v>8.5355906313645633</v>
      </c>
      <c r="X31" s="663">
        <f>U31*(HLOOKUP($T$19,'CO2 equivalenten'!$E$4:$Q$107,(MATCH("DIE",'CO2 equivalenten'!$C$4:$C$107,0))))</f>
        <v>54.583258399999998</v>
      </c>
    </row>
    <row r="32" spans="2:24" x14ac:dyDescent="0.2">
      <c r="B32" s="666" t="s">
        <v>570</v>
      </c>
      <c r="C32" s="663">
        <v>0</v>
      </c>
      <c r="D32" s="663">
        <v>0</v>
      </c>
      <c r="E32" s="663">
        <f>IF(C32=0,0,C32/D32)</f>
        <v>0</v>
      </c>
      <c r="F32" s="663">
        <f>C32*(HLOOKUP($B$31,'CO2 equivalenten'!$E$4:$Q$107,(MATCH("DIE",'CO2 equivalenten'!$C$4:$C$107,0))))</f>
        <v>0</v>
      </c>
      <c r="N32" s="670" t="s">
        <v>31</v>
      </c>
      <c r="O32" s="668">
        <f>SUM(O18:O31)</f>
        <v>171328</v>
      </c>
      <c r="P32" s="668">
        <f>SUM(P18:P31)</f>
        <v>21003.75</v>
      </c>
      <c r="Q32" s="669">
        <f t="shared" si="7"/>
        <v>8.157019579836934</v>
      </c>
      <c r="R32" s="669">
        <f>SUM(R20:R31)</f>
        <v>536.94580469999994</v>
      </c>
      <c r="T32" s="666" t="s">
        <v>589</v>
      </c>
      <c r="U32" s="662">
        <v>15769.8</v>
      </c>
      <c r="V32" s="662">
        <v>1800.75</v>
      </c>
      <c r="W32" s="663">
        <f t="shared" si="8"/>
        <v>8.7573511037067888</v>
      </c>
      <c r="X32" s="663">
        <f>U32*(HLOOKUP($T$19,'CO2 equivalenten'!$E$4:$Q$107,(MATCH("DIE",'CO2 equivalenten'!$C$4:$C$107,0))))</f>
        <v>51.346468799999997</v>
      </c>
    </row>
    <row r="33" spans="2:24" x14ac:dyDescent="0.2">
      <c r="B33" s="666" t="s">
        <v>573</v>
      </c>
      <c r="C33" s="663">
        <v>0</v>
      </c>
      <c r="D33" s="663">
        <v>0</v>
      </c>
      <c r="E33" s="663">
        <f t="shared" ref="E33:E38" si="10">IF(C33=0,0,C33/D33)</f>
        <v>0</v>
      </c>
      <c r="F33" s="663">
        <f>C33*(HLOOKUP($B$31,'CO2 equivalenten'!$E$4:$Q$107,(MATCH("DIE",'CO2 equivalenten'!$C$4:$C$107,0))))</f>
        <v>0</v>
      </c>
      <c r="T33" s="666" t="s">
        <v>590</v>
      </c>
      <c r="U33" s="662">
        <v>17126.3</v>
      </c>
      <c r="V33" s="662">
        <v>1946.47</v>
      </c>
      <c r="W33" s="663">
        <f t="shared" si="8"/>
        <v>8.7986457535949683</v>
      </c>
      <c r="X33" s="663">
        <f>U33*(HLOOKUP($T$19,'CO2 equivalenten'!$E$4:$Q$107,(MATCH("DIE",'CO2 equivalenten'!$C$4:$C$107,0))))</f>
        <v>55.763232799999997</v>
      </c>
    </row>
    <row r="34" spans="2:24" x14ac:dyDescent="0.2">
      <c r="B34" s="666" t="s">
        <v>585</v>
      </c>
      <c r="C34" s="663">
        <v>16180.2</v>
      </c>
      <c r="D34" s="663">
        <v>1675.25</v>
      </c>
      <c r="E34" s="663">
        <f t="shared" si="10"/>
        <v>9.658379346366214</v>
      </c>
      <c r="F34" s="663">
        <f>C34*(HLOOKUP($B$31,'CO2 equivalenten'!$E$4:$Q$107,(MATCH("DIE",'CO2 equivalenten'!$C$4:$C$107,0))))</f>
        <v>52.779812400000004</v>
      </c>
      <c r="N34" s="660">
        <v>2020</v>
      </c>
      <c r="O34" s="656" t="s">
        <v>563</v>
      </c>
      <c r="P34" s="656" t="s">
        <v>564</v>
      </c>
      <c r="Q34" s="656" t="s">
        <v>565</v>
      </c>
      <c r="R34" s="656" t="s">
        <v>566</v>
      </c>
      <c r="T34" s="670" t="s">
        <v>31</v>
      </c>
      <c r="U34" s="668">
        <f>SUM(U20:U33)</f>
        <v>196742.79999999996</v>
      </c>
      <c r="V34" s="668">
        <f>SUM(V20:V33)</f>
        <v>23772.280000000002</v>
      </c>
      <c r="W34" s="669">
        <f t="shared" si="8"/>
        <v>8.2761434746688138</v>
      </c>
      <c r="X34" s="669">
        <f>SUM(X20:X33)</f>
        <v>640.59455679999996</v>
      </c>
    </row>
    <row r="35" spans="2:24" x14ac:dyDescent="0.2">
      <c r="B35" s="666" t="s">
        <v>577</v>
      </c>
      <c r="C35" s="663">
        <v>0</v>
      </c>
      <c r="D35" s="663">
        <v>0</v>
      </c>
      <c r="E35" s="663">
        <f t="shared" si="10"/>
        <v>0</v>
      </c>
      <c r="F35" s="663">
        <f>C35*(HLOOKUP($B$31,'CO2 equivalenten'!$E$4:$Q$107,(MATCH("DIE",'CO2 equivalenten'!$C$4:$C$107,0))))</f>
        <v>0</v>
      </c>
      <c r="N35" s="666" t="s">
        <v>574</v>
      </c>
      <c r="O35" s="662">
        <v>4077.8</v>
      </c>
      <c r="P35" s="663">
        <v>642</v>
      </c>
      <c r="Q35" s="663">
        <f>O35/P35</f>
        <v>6.3517133956386296</v>
      </c>
      <c r="R35" s="663">
        <f>O35*(HLOOKUP($N$34,'CO2 equivalenten'!$E$4:$Q$107,(MATCH("DIE",'CO2 equivalenten'!$C$4:$C$107,0))))</f>
        <v>13.4934402</v>
      </c>
    </row>
    <row r="36" spans="2:24" x14ac:dyDescent="0.2">
      <c r="B36" s="666" t="s">
        <v>593</v>
      </c>
      <c r="C36" s="662">
        <v>23177.4</v>
      </c>
      <c r="D36" s="662">
        <v>2033.05</v>
      </c>
      <c r="E36" s="663">
        <f t="shared" si="10"/>
        <v>11.400309879245469</v>
      </c>
      <c r="F36" s="663">
        <f>C36*(HLOOKUP($B$31,'CO2 equivalenten'!$E$4:$Q$107,(MATCH("DIE",'CO2 equivalenten'!$C$4:$C$107,0))))</f>
        <v>75.604678800000002</v>
      </c>
      <c r="N36" s="666" t="s">
        <v>572</v>
      </c>
      <c r="O36" s="662">
        <v>5524.5</v>
      </c>
      <c r="P36" s="663">
        <v>912</v>
      </c>
      <c r="Q36" s="663">
        <f t="shared" ref="Q36:Q47" si="11">O36/P36</f>
        <v>6.0575657894736841</v>
      </c>
      <c r="R36" s="663">
        <f>O36*(HLOOKUP($N$34,'CO2 equivalenten'!$E$4:$Q$107,(MATCH("DIE",'CO2 equivalenten'!$C$4:$C$107,0))))</f>
        <v>18.2805705</v>
      </c>
      <c r="T36" s="660">
        <v>2025</v>
      </c>
      <c r="U36" s="656" t="s">
        <v>563</v>
      </c>
      <c r="V36" s="656" t="s">
        <v>564</v>
      </c>
      <c r="W36" s="656" t="s">
        <v>565</v>
      </c>
      <c r="X36" s="656" t="s">
        <v>566</v>
      </c>
    </row>
    <row r="37" spans="2:24" x14ac:dyDescent="0.2">
      <c r="B37" s="666" t="s">
        <v>594</v>
      </c>
      <c r="C37" s="662">
        <v>21934.7</v>
      </c>
      <c r="D37" s="662">
        <v>1583.25</v>
      </c>
      <c r="E37" s="663">
        <f t="shared" si="10"/>
        <v>13.854223906521396</v>
      </c>
      <c r="F37" s="663">
        <f>C37*(HLOOKUP($B$31,'CO2 equivalenten'!$E$4:$Q$107,(MATCH("DIE",'CO2 equivalenten'!$C$4:$C$107,0))))</f>
        <v>71.550991400000001</v>
      </c>
      <c r="N37" s="666" t="s">
        <v>575</v>
      </c>
      <c r="O37" s="662">
        <v>11069.6</v>
      </c>
      <c r="P37" s="663">
        <v>1597.75</v>
      </c>
      <c r="Q37" s="663">
        <f t="shared" si="11"/>
        <v>6.9282428414958535</v>
      </c>
      <c r="R37" s="663">
        <f>O37*(HLOOKUP($N$34,'CO2 equivalenten'!$E$4:$Q$107,(MATCH("DIE",'CO2 equivalenten'!$C$4:$C$107,0))))</f>
        <v>36.629306399999997</v>
      </c>
      <c r="T37" s="666" t="s">
        <v>572</v>
      </c>
      <c r="U37" s="662">
        <v>0</v>
      </c>
      <c r="V37" s="662">
        <v>0</v>
      </c>
      <c r="W37" s="663">
        <v>0</v>
      </c>
      <c r="X37" s="663">
        <f>U37*(HLOOKUP($T$36,'CO2 equivalenten'!$E$4:$Q$107,(MATCH("DIE",'CO2 equivalenten'!$C$4:$C$107,0))))</f>
        <v>0</v>
      </c>
    </row>
    <row r="38" spans="2:24" x14ac:dyDescent="0.2">
      <c r="B38" s="666" t="s">
        <v>591</v>
      </c>
      <c r="C38" s="662">
        <v>18927.599999999999</v>
      </c>
      <c r="D38" s="662">
        <v>2170.5</v>
      </c>
      <c r="E38" s="663">
        <f t="shared" si="10"/>
        <v>8.7203870076019339</v>
      </c>
      <c r="F38" s="663">
        <f>C38*(HLOOKUP($B$31,'CO2 equivalenten'!$E$4:$Q$107,(MATCH("DIE",'CO2 equivalenten'!$C$4:$C$107,0))))</f>
        <v>61.7418312</v>
      </c>
      <c r="N38" s="666" t="s">
        <v>580</v>
      </c>
      <c r="O38" s="662">
        <v>15387.9</v>
      </c>
      <c r="P38" s="663">
        <v>1772.25</v>
      </c>
      <c r="Q38" s="663">
        <f t="shared" si="11"/>
        <v>8.6826914938637323</v>
      </c>
      <c r="R38" s="663">
        <f>O38*(HLOOKUP($N$34,'CO2 equivalenten'!$E$4:$Q$107,(MATCH("DIE",'CO2 equivalenten'!$C$4:$C$107,0))))</f>
        <v>50.918561099999998</v>
      </c>
      <c r="T38" s="666" t="s">
        <v>575</v>
      </c>
      <c r="U38" s="662">
        <v>3110.6</v>
      </c>
      <c r="V38" s="662">
        <v>235.5</v>
      </c>
      <c r="W38" s="663">
        <f t="shared" ref="W38:W48" si="12">U38/V38</f>
        <v>13.208492569002123</v>
      </c>
      <c r="X38" s="663">
        <f>U38*(HLOOKUP($T$36,'CO2 equivalenten'!$E$4:$Q$107,(MATCH("DIE",'CO2 equivalenten'!$C$4:$C$107,0))))</f>
        <v>10.1125606</v>
      </c>
    </row>
    <row r="39" spans="2:24" x14ac:dyDescent="0.2">
      <c r="B39" s="670" t="s">
        <v>31</v>
      </c>
      <c r="C39" s="668">
        <f>SUM(C32:C38)</f>
        <v>80219.899999999994</v>
      </c>
      <c r="D39" s="668">
        <f>SUM(D32:D38)</f>
        <v>7462.05</v>
      </c>
      <c r="E39" s="669">
        <f>C39/D39</f>
        <v>10.750383607721737</v>
      </c>
      <c r="F39" s="669">
        <f>SUM(F32:F38)</f>
        <v>261.67731379999998</v>
      </c>
      <c r="N39" s="666" t="s">
        <v>581</v>
      </c>
      <c r="O39" s="662">
        <v>15592</v>
      </c>
      <c r="P39" s="663">
        <v>1686.75</v>
      </c>
      <c r="Q39" s="663">
        <f t="shared" si="11"/>
        <v>9.2438120646213129</v>
      </c>
      <c r="R39" s="663">
        <f>O39*(HLOOKUP($N$34,'CO2 equivalenten'!$E$4:$Q$107,(MATCH("DIE",'CO2 equivalenten'!$C$4:$C$107,0))))</f>
        <v>51.593927999999998</v>
      </c>
      <c r="T39" s="666" t="s">
        <v>576</v>
      </c>
      <c r="U39" s="662">
        <v>13979.9</v>
      </c>
      <c r="V39" s="662">
        <v>1895.25</v>
      </c>
      <c r="W39" s="663">
        <f t="shared" si="12"/>
        <v>7.3762828122938924</v>
      </c>
      <c r="X39" s="663">
        <f>U39*(HLOOKUP($T$36,'CO2 equivalenten'!$E$4:$Q$107,(MATCH("DIE",'CO2 equivalenten'!$C$4:$C$107,0))))</f>
        <v>45.448654900000001</v>
      </c>
    </row>
    <row r="40" spans="2:24" x14ac:dyDescent="0.2">
      <c r="N40" s="666" t="s">
        <v>582</v>
      </c>
      <c r="O40" s="662">
        <v>21714.400000000001</v>
      </c>
      <c r="P40" s="663">
        <v>2334.5</v>
      </c>
      <c r="Q40" s="663">
        <f t="shared" si="11"/>
        <v>9.3015206682373108</v>
      </c>
      <c r="R40" s="663">
        <f>O40*(HLOOKUP($N$34,'CO2 equivalenten'!$E$4:$Q$107,(MATCH("DIE",'CO2 equivalenten'!$C$4:$C$107,0))))</f>
        <v>71.852949600000002</v>
      </c>
      <c r="T40" s="666" t="s">
        <v>578</v>
      </c>
      <c r="U40" s="662">
        <v>13336.8</v>
      </c>
      <c r="V40" s="662">
        <v>1963.5</v>
      </c>
      <c r="W40" s="663">
        <f t="shared" si="12"/>
        <v>6.792360580595874</v>
      </c>
      <c r="X40" s="663">
        <f>U40*(HLOOKUP($T$36,'CO2 equivalenten'!$E$4:$Q$107,(MATCH("DIE",'CO2 equivalenten'!$C$4:$C$107,0))))</f>
        <v>43.357936799999997</v>
      </c>
    </row>
    <row r="41" spans="2:24" x14ac:dyDescent="0.2">
      <c r="B41" s="660">
        <v>2023</v>
      </c>
      <c r="C41" s="656" t="s">
        <v>563</v>
      </c>
      <c r="D41" s="656" t="s">
        <v>564</v>
      </c>
      <c r="E41" s="656" t="s">
        <v>565</v>
      </c>
      <c r="F41" s="656" t="s">
        <v>566</v>
      </c>
      <c r="N41" s="666" t="s">
        <v>583</v>
      </c>
      <c r="O41" s="662">
        <v>16744</v>
      </c>
      <c r="P41" s="663">
        <v>1813.75</v>
      </c>
      <c r="Q41" s="663">
        <f t="shared" si="11"/>
        <v>9.2317022742935908</v>
      </c>
      <c r="R41" s="663">
        <f>O41*(HLOOKUP($N$34,'CO2 equivalenten'!$E$4:$Q$107,(MATCH("DIE",'CO2 equivalenten'!$C$4:$C$107,0))))</f>
        <v>55.405895999999998</v>
      </c>
      <c r="T41" s="666" t="s">
        <v>580</v>
      </c>
      <c r="U41" s="662">
        <v>12785.7</v>
      </c>
      <c r="V41" s="662">
        <v>1842.75</v>
      </c>
      <c r="W41" s="663">
        <f t="shared" si="12"/>
        <v>6.9383801383801389</v>
      </c>
      <c r="X41" s="663">
        <f>U41*(HLOOKUP($T$36,'CO2 equivalenten'!$E$4:$Q$107,(MATCH("DIE",'CO2 equivalenten'!$C$4:$C$107,0))))</f>
        <v>41.566310700000002</v>
      </c>
    </row>
    <row r="42" spans="2:24" x14ac:dyDescent="0.2">
      <c r="B42" s="666" t="s">
        <v>585</v>
      </c>
      <c r="C42" s="662">
        <v>17282.3</v>
      </c>
      <c r="D42" s="662">
        <v>1677</v>
      </c>
      <c r="E42" s="663">
        <f t="shared" ref="E42:E45" si="13">IF(C42=0,0,C42/D42)</f>
        <v>10.305485986881335</v>
      </c>
      <c r="F42" s="663">
        <f>C42*(HLOOKUP($B$41,'CO2 equivalenten'!$E$4:$Q$107,(MATCH("DIE",'CO2 equivalenten'!$C$4:$C$107,0))))</f>
        <v>56.271168799999991</v>
      </c>
      <c r="N42" s="666" t="s">
        <v>586</v>
      </c>
      <c r="O42" s="662">
        <v>19808.5</v>
      </c>
      <c r="P42" s="663">
        <v>2124.5</v>
      </c>
      <c r="Q42" s="663">
        <f t="shared" si="11"/>
        <v>9.3238409037420578</v>
      </c>
      <c r="R42" s="663">
        <f>O42*(HLOOKUP($N$34,'CO2 equivalenten'!$E$4:$Q$107,(MATCH("DIE",'CO2 equivalenten'!$C$4:$C$107,0))))</f>
        <v>65.546326499999992</v>
      </c>
      <c r="T42" s="666" t="s">
        <v>581</v>
      </c>
      <c r="U42" s="662">
        <v>10396.299999999999</v>
      </c>
      <c r="V42" s="662">
        <v>1218.8</v>
      </c>
      <c r="W42" s="663">
        <f t="shared" si="12"/>
        <v>8.5299474893337699</v>
      </c>
      <c r="X42" s="663">
        <f>U42*(HLOOKUP($T$36,'CO2 equivalenten'!$E$4:$Q$107,(MATCH("DIE",'CO2 equivalenten'!$C$4:$C$107,0))))</f>
        <v>33.798371299999999</v>
      </c>
    </row>
    <row r="43" spans="2:24" x14ac:dyDescent="0.2">
      <c r="B43" s="666" t="s">
        <v>593</v>
      </c>
      <c r="C43" s="662">
        <v>20238.2</v>
      </c>
      <c r="D43" s="662">
        <v>1759.5</v>
      </c>
      <c r="E43" s="663">
        <f t="shared" si="13"/>
        <v>11.502244955953396</v>
      </c>
      <c r="F43" s="663">
        <f>C43*(HLOOKUP($B$41,'CO2 equivalenten'!$E$4:$Q$107,(MATCH("DIE",'CO2 equivalenten'!$C$4:$C$107,0))))</f>
        <v>65.8955792</v>
      </c>
      <c r="N43" s="666" t="s">
        <v>587</v>
      </c>
      <c r="O43" s="662">
        <v>18622.599999999999</v>
      </c>
      <c r="P43" s="663">
        <v>2203.25</v>
      </c>
      <c r="Q43" s="663">
        <f t="shared" si="11"/>
        <v>8.4523317825938946</v>
      </c>
      <c r="R43" s="663">
        <f>O43*(HLOOKUP($N$34,'CO2 equivalenten'!$E$4:$Q$107,(MATCH("DIE",'CO2 equivalenten'!$C$4:$C$107,0))))</f>
        <v>61.62218339999999</v>
      </c>
      <c r="T43" s="666" t="s">
        <v>582</v>
      </c>
      <c r="U43" s="662">
        <v>19980.3</v>
      </c>
      <c r="V43" s="662">
        <v>2275.75</v>
      </c>
      <c r="W43" s="663">
        <f t="shared" si="12"/>
        <v>8.7796550587718336</v>
      </c>
      <c r="X43" s="663">
        <f>U43*(HLOOKUP($T$36,'CO2 equivalenten'!$E$4:$Q$107,(MATCH("DIE",'CO2 equivalenten'!$C$4:$C$107,0))))</f>
        <v>64.955955299999999</v>
      </c>
    </row>
    <row r="44" spans="2:24" x14ac:dyDescent="0.2">
      <c r="B44" s="666" t="s">
        <v>594</v>
      </c>
      <c r="C44" s="662">
        <v>24129.8</v>
      </c>
      <c r="D44" s="662">
        <v>2048</v>
      </c>
      <c r="E44" s="663">
        <f t="shared" si="13"/>
        <v>11.78212890625</v>
      </c>
      <c r="F44" s="663">
        <f>C44*(HLOOKUP($B$41,'CO2 equivalenten'!$E$4:$Q$107,(MATCH("DIE",'CO2 equivalenten'!$C$4:$C$107,0))))</f>
        <v>78.566628799999989</v>
      </c>
      <c r="N44" s="666" t="s">
        <v>588</v>
      </c>
      <c r="O44" s="662">
        <v>18260.900000000001</v>
      </c>
      <c r="P44" s="663">
        <v>2203.25</v>
      </c>
      <c r="Q44" s="663">
        <f t="shared" si="11"/>
        <v>8.2881652104845127</v>
      </c>
      <c r="R44" s="663">
        <f>O44*(HLOOKUP($N$34,'CO2 equivalenten'!$E$4:$Q$107,(MATCH("DIE",'CO2 equivalenten'!$C$4:$C$107,0))))</f>
        <v>60.425318100000005</v>
      </c>
      <c r="T44" s="666" t="s">
        <v>583</v>
      </c>
      <c r="U44" s="662">
        <v>16864.400000000001</v>
      </c>
      <c r="V44" s="662">
        <v>2096</v>
      </c>
      <c r="W44" s="663">
        <f t="shared" si="12"/>
        <v>8.0459923664122144</v>
      </c>
      <c r="X44" s="663">
        <f>U44*(HLOOKUP($T$36,'CO2 equivalenten'!$E$4:$Q$107,(MATCH("DIE",'CO2 equivalenten'!$C$4:$C$107,0))))</f>
        <v>54.826164400000003</v>
      </c>
    </row>
    <row r="45" spans="2:24" x14ac:dyDescent="0.2">
      <c r="B45" s="666" t="s">
        <v>591</v>
      </c>
      <c r="C45" s="662">
        <v>15661.9</v>
      </c>
      <c r="D45" s="662">
        <v>2030.75</v>
      </c>
      <c r="E45" s="663">
        <f t="shared" si="13"/>
        <v>7.7123722762526157</v>
      </c>
      <c r="F45" s="663">
        <f>C45*(HLOOKUP($B$41,'CO2 equivalenten'!$E$4:$Q$107,(MATCH("DIE",'CO2 equivalenten'!$C$4:$C$107,0))))</f>
        <v>50.995146399999996</v>
      </c>
      <c r="N45" s="666" t="s">
        <v>589</v>
      </c>
      <c r="O45" s="662">
        <v>14260.1</v>
      </c>
      <c r="P45" s="663">
        <v>1881.25</v>
      </c>
      <c r="Q45" s="663">
        <f t="shared" si="11"/>
        <v>7.5801196013289038</v>
      </c>
      <c r="R45" s="663">
        <f>O45*(HLOOKUP($N$34,'CO2 equivalenten'!$E$4:$Q$107,(MATCH("DIE",'CO2 equivalenten'!$C$4:$C$107,0))))</f>
        <v>47.186670900000003</v>
      </c>
      <c r="T45" s="666" t="s">
        <v>584</v>
      </c>
      <c r="U45" s="662">
        <v>14458.3</v>
      </c>
      <c r="V45" s="662">
        <v>2192.25</v>
      </c>
      <c r="W45" s="663">
        <f t="shared" si="12"/>
        <v>6.5951875926559467</v>
      </c>
      <c r="X45" s="663">
        <f>U45*(HLOOKUP($T$36,'CO2 equivalenten'!$E$4:$Q$107,(MATCH("DIE",'CO2 equivalenten'!$C$4:$C$107,0))))</f>
        <v>47.0039333</v>
      </c>
    </row>
    <row r="46" spans="2:24" x14ac:dyDescent="0.2">
      <c r="B46" s="670" t="s">
        <v>31</v>
      </c>
      <c r="C46" s="668">
        <f>SUM(C42:C45)</f>
        <v>77312.2</v>
      </c>
      <c r="D46" s="668">
        <f>SUM(D42:D45)</f>
        <v>7515.25</v>
      </c>
      <c r="E46" s="669">
        <f>C46/D46</f>
        <v>10.287375669472073</v>
      </c>
      <c r="F46" s="669">
        <f>SUM(F42:F45)</f>
        <v>251.72852319999998</v>
      </c>
      <c r="N46" s="666" t="s">
        <v>590</v>
      </c>
      <c r="O46" s="662">
        <v>15608.8</v>
      </c>
      <c r="P46" s="663">
        <v>2015.75</v>
      </c>
      <c r="Q46" s="663">
        <f t="shared" si="11"/>
        <v>7.7434205630658557</v>
      </c>
      <c r="R46" s="663">
        <f>O46*(HLOOKUP($N$34,'CO2 equivalenten'!$E$4:$Q$107,(MATCH("DIE",'CO2 equivalenten'!$C$4:$C$107,0))))</f>
        <v>51.649519199999993</v>
      </c>
      <c r="T46" s="666" t="s">
        <v>586</v>
      </c>
      <c r="U46" s="662">
        <v>17793.7</v>
      </c>
      <c r="V46" s="662">
        <v>2028.25</v>
      </c>
      <c r="W46" s="663">
        <f t="shared" si="12"/>
        <v>8.7729323308270679</v>
      </c>
      <c r="X46" s="663">
        <f>U46*(HLOOKUP($T$36,'CO2 equivalenten'!$E$4:$Q$107,(MATCH("DIE",'CO2 equivalenten'!$C$4:$C$107,0))))</f>
        <v>57.847318700000002</v>
      </c>
    </row>
    <row r="47" spans="2:24" x14ac:dyDescent="0.2">
      <c r="N47" s="670" t="s">
        <v>31</v>
      </c>
      <c r="O47" s="668">
        <f>SUM(O35:O46)</f>
        <v>176671.1</v>
      </c>
      <c r="P47" s="668">
        <f>SUM(P35:P46)</f>
        <v>21187</v>
      </c>
      <c r="Q47" s="669">
        <f t="shared" si="11"/>
        <v>8.3386557794874214</v>
      </c>
      <c r="R47" s="669">
        <f>SUM(R35:R46)</f>
        <v>584.60466989999998</v>
      </c>
      <c r="T47" s="666" t="s">
        <v>587</v>
      </c>
      <c r="U47" s="662">
        <v>19583.7</v>
      </c>
      <c r="V47" s="662">
        <v>2223.31</v>
      </c>
      <c r="W47" s="663">
        <f t="shared" si="12"/>
        <v>8.8083533110542387</v>
      </c>
      <c r="X47" s="663">
        <f>U47*(HLOOKUP($T$36,'CO2 equivalenten'!$E$4:$Q$107,(MATCH("DIE",'CO2 equivalenten'!$C$4:$C$107,0))))</f>
        <v>63.666608700000005</v>
      </c>
    </row>
    <row r="48" spans="2:24" x14ac:dyDescent="0.2">
      <c r="B48" s="660">
        <v>2024</v>
      </c>
      <c r="C48" s="656" t="s">
        <v>563</v>
      </c>
      <c r="D48" s="656" t="s">
        <v>564</v>
      </c>
      <c r="E48" s="656" t="s">
        <v>565</v>
      </c>
      <c r="F48" s="656" t="s">
        <v>566</v>
      </c>
      <c r="T48" s="666" t="s">
        <v>588</v>
      </c>
      <c r="U48" s="662">
        <v>16258</v>
      </c>
      <c r="V48" s="662">
        <v>2003</v>
      </c>
      <c r="W48" s="663">
        <f t="shared" si="12"/>
        <v>8.1168247628557157</v>
      </c>
      <c r="X48" s="663">
        <f>U48*(HLOOKUP($T$36,'CO2 equivalenten'!$E$4:$Q$107,(MATCH("DIE",'CO2 equivalenten'!$C$4:$C$107,0))))</f>
        <v>52.854757999999997</v>
      </c>
    </row>
    <row r="49" spans="2:24" x14ac:dyDescent="0.2">
      <c r="B49" s="666" t="s">
        <v>585</v>
      </c>
      <c r="C49" s="662">
        <v>15469.9</v>
      </c>
      <c r="D49" s="662">
        <v>1559.5</v>
      </c>
      <c r="E49" s="663">
        <f t="shared" ref="E49:E52" si="14">IF(C49=0,0,C49/D49)</f>
        <v>9.9197819814042969</v>
      </c>
      <c r="F49" s="663">
        <f>C49*(HLOOKUP($B$48,'CO2 equivalenten'!$E$4:$Q$107,(MATCH("DIE",'CO2 equivalenten'!$C$4:$C$107,0))))</f>
        <v>50.369994399999996</v>
      </c>
      <c r="N49" s="660">
        <v>2021</v>
      </c>
      <c r="O49" s="656" t="s">
        <v>563</v>
      </c>
      <c r="P49" s="656" t="s">
        <v>564</v>
      </c>
      <c r="Q49" s="656" t="s">
        <v>565</v>
      </c>
      <c r="R49" s="656" t="s">
        <v>566</v>
      </c>
      <c r="T49" s="666" t="s">
        <v>589</v>
      </c>
      <c r="U49" s="662">
        <v>12808.7</v>
      </c>
      <c r="V49" s="662">
        <v>1602</v>
      </c>
      <c r="W49" s="663">
        <f t="shared" ref="W49:W52" si="15">U49/V49</f>
        <v>7.9954431960049943</v>
      </c>
      <c r="X49" s="663">
        <f>U49*(HLOOKUP($T$36,'CO2 equivalenten'!$E$4:$Q$107,(MATCH("DIE",'CO2 equivalenten'!$C$4:$C$107,0))))</f>
        <v>41.641083700000003</v>
      </c>
    </row>
    <row r="50" spans="2:24" x14ac:dyDescent="0.2">
      <c r="B50" s="666" t="s">
        <v>593</v>
      </c>
      <c r="C50" s="662">
        <v>16419.099999999999</v>
      </c>
      <c r="D50" s="662">
        <v>1294.08</v>
      </c>
      <c r="E50" s="663">
        <f t="shared" si="14"/>
        <v>12.687855464886251</v>
      </c>
      <c r="F50" s="663">
        <f>C50*(HLOOKUP($B$48,'CO2 equivalenten'!$E$4:$Q$107,(MATCH("DIE",'CO2 equivalenten'!$C$4:$C$107,0))))</f>
        <v>53.460589599999992</v>
      </c>
      <c r="N50" s="666" t="s">
        <v>574</v>
      </c>
      <c r="O50" s="662">
        <v>6865.6</v>
      </c>
      <c r="P50" s="662">
        <v>1169</v>
      </c>
      <c r="Q50" s="663">
        <f>O50/P50</f>
        <v>5.8730538922155695</v>
      </c>
      <c r="R50" s="663">
        <f>O50*(HLOOKUP($N$49,'CO2 equivalenten'!$E$4:$Q$107,(MATCH("DIE",'CO2 equivalenten'!$C$4:$C$107,0))))</f>
        <v>22.395587200000001</v>
      </c>
      <c r="T50" s="666" t="s">
        <v>590</v>
      </c>
      <c r="U50" s="662">
        <v>14849.7</v>
      </c>
      <c r="V50" s="662">
        <v>1924.75</v>
      </c>
      <c r="W50" s="663">
        <f t="shared" si="15"/>
        <v>7.7151318353032865</v>
      </c>
      <c r="X50" s="663">
        <f>U50*(HLOOKUP($T$36,'CO2 equivalenten'!$E$4:$Q$107,(MATCH("DIE",'CO2 equivalenten'!$C$4:$C$107,0))))</f>
        <v>48.276374700000005</v>
      </c>
    </row>
    <row r="51" spans="2:24" x14ac:dyDescent="0.2">
      <c r="B51" s="666" t="s">
        <v>594</v>
      </c>
      <c r="C51" s="662">
        <v>20116.7</v>
      </c>
      <c r="D51" s="662">
        <v>1854.91</v>
      </c>
      <c r="E51" s="663">
        <f t="shared" si="14"/>
        <v>10.845108388008043</v>
      </c>
      <c r="F51" s="663">
        <f>C51*(HLOOKUP($B$48,'CO2 equivalenten'!$E$4:$Q$107,(MATCH("DIE",'CO2 equivalenten'!$C$4:$C$107,0))))</f>
        <v>65.499975199999994</v>
      </c>
      <c r="N51" s="666" t="s">
        <v>572</v>
      </c>
      <c r="O51" s="662">
        <v>9464</v>
      </c>
      <c r="P51" s="662">
        <v>1397.75</v>
      </c>
      <c r="Q51" s="663">
        <f t="shared" ref="Q51:Q61" si="16">O51/P51</f>
        <v>6.7708817742800926</v>
      </c>
      <c r="R51" s="663">
        <f>O51*(HLOOKUP($N$49,'CO2 equivalenten'!$E$4:$Q$107,(MATCH("DIE",'CO2 equivalenten'!$C$4:$C$107,0))))</f>
        <v>30.871568</v>
      </c>
      <c r="T51" s="666" t="s">
        <v>603</v>
      </c>
      <c r="U51" s="662">
        <v>15002.5</v>
      </c>
      <c r="V51" s="662">
        <v>1885.5</v>
      </c>
      <c r="W51" s="663">
        <f t="shared" si="15"/>
        <v>7.9567753911429326</v>
      </c>
      <c r="X51" s="663">
        <f>U51*(HLOOKUP($T$36,'CO2 equivalenten'!$E$4:$Q$107,(MATCH("DIE",'CO2 equivalenten'!$C$4:$C$107,0))))</f>
        <v>48.773127500000001</v>
      </c>
    </row>
    <row r="52" spans="2:24" x14ac:dyDescent="0.2">
      <c r="B52" s="666" t="s">
        <v>591</v>
      </c>
      <c r="C52" s="662">
        <v>19912.2</v>
      </c>
      <c r="D52" s="662">
        <v>2351.6999999999998</v>
      </c>
      <c r="E52" s="663">
        <f t="shared" si="14"/>
        <v>8.4671514223753039</v>
      </c>
      <c r="F52" s="663">
        <f>C52*(HLOOKUP($B$48,'CO2 equivalenten'!$E$4:$Q$107,(MATCH("DIE",'CO2 equivalenten'!$C$4:$C$107,0))))</f>
        <v>64.834123199999993</v>
      </c>
      <c r="N52" s="666" t="s">
        <v>575</v>
      </c>
      <c r="O52" s="662">
        <v>15029.5</v>
      </c>
      <c r="P52" s="662">
        <v>1565</v>
      </c>
      <c r="Q52" s="663">
        <f t="shared" si="16"/>
        <v>9.6035143769968059</v>
      </c>
      <c r="R52" s="663">
        <f>O52*(HLOOKUP($N$49,'CO2 equivalenten'!$E$4:$Q$107,(MATCH("DIE",'CO2 equivalenten'!$C$4:$C$107,0))))</f>
        <v>49.026229000000001</v>
      </c>
      <c r="T52" s="666" t="s">
        <v>604</v>
      </c>
      <c r="U52" s="662">
        <v>14752.6</v>
      </c>
      <c r="V52" s="662">
        <v>1723.25</v>
      </c>
      <c r="W52" s="663">
        <f t="shared" si="15"/>
        <v>8.5609168721891784</v>
      </c>
      <c r="X52" s="663">
        <f>U52*(HLOOKUP($T$36,'CO2 equivalenten'!$E$4:$Q$107,(MATCH("DIE",'CO2 equivalenten'!$C$4:$C$107,0))))</f>
        <v>47.960702599999998</v>
      </c>
    </row>
    <row r="53" spans="2:24" x14ac:dyDescent="0.2">
      <c r="B53" s="670" t="s">
        <v>31</v>
      </c>
      <c r="C53" s="668">
        <f>SUM(C49:C52)</f>
        <v>71917.899999999994</v>
      </c>
      <c r="D53" s="668">
        <f>SUM(D49:D52)</f>
        <v>7060.19</v>
      </c>
      <c r="E53" s="669">
        <f>C53/D53</f>
        <v>10.186397249932368</v>
      </c>
      <c r="F53" s="669">
        <f>SUM(F49:F52)</f>
        <v>234.16468239999998</v>
      </c>
      <c r="N53" s="666" t="s">
        <v>580</v>
      </c>
      <c r="O53" s="662">
        <v>19394.099999999999</v>
      </c>
      <c r="P53" s="662">
        <v>2135</v>
      </c>
      <c r="Q53" s="663">
        <f t="shared" si="16"/>
        <v>9.083887587822014</v>
      </c>
      <c r="R53" s="663">
        <f>O53*(HLOOKUP($N$49,'CO2 equivalenten'!$E$4:$Q$107,(MATCH("DIE",'CO2 equivalenten'!$C$4:$C$107,0))))</f>
        <v>63.263554200000002</v>
      </c>
      <c r="T53" s="670" t="s">
        <v>31</v>
      </c>
      <c r="U53" s="668">
        <f>SUM(U37:U52)</f>
        <v>215961.20000000004</v>
      </c>
      <c r="V53" s="668">
        <f>SUM(V37:V52)</f>
        <v>27109.86</v>
      </c>
      <c r="W53" s="669">
        <f>U53/V53</f>
        <v>7.9661495854275914</v>
      </c>
      <c r="X53" s="669">
        <f>SUM(X37:X52)</f>
        <v>702.08986119999997</v>
      </c>
    </row>
    <row r="54" spans="2:24" x14ac:dyDescent="0.2">
      <c r="N54" s="666" t="s">
        <v>581</v>
      </c>
      <c r="O54" s="662">
        <v>16239.6</v>
      </c>
      <c r="P54" s="662">
        <v>1857.5</v>
      </c>
      <c r="Q54" s="663">
        <f t="shared" si="16"/>
        <v>8.7427187079407815</v>
      </c>
      <c r="R54" s="663">
        <f>O54*(HLOOKUP($N$49,'CO2 equivalenten'!$E$4:$Q$107,(MATCH("DIE",'CO2 equivalenten'!$C$4:$C$107,0))))</f>
        <v>52.973575200000006</v>
      </c>
    </row>
    <row r="55" spans="2:24" x14ac:dyDescent="0.2">
      <c r="B55" s="660">
        <v>2025</v>
      </c>
      <c r="C55" s="656" t="s">
        <v>563</v>
      </c>
      <c r="D55" s="656" t="s">
        <v>564</v>
      </c>
      <c r="E55" s="656" t="s">
        <v>565</v>
      </c>
      <c r="F55" s="656" t="s">
        <v>566</v>
      </c>
      <c r="N55" s="666" t="s">
        <v>582</v>
      </c>
      <c r="O55" s="662">
        <v>22720.7</v>
      </c>
      <c r="P55" s="662">
        <v>2360.75</v>
      </c>
      <c r="Q55" s="663">
        <f t="shared" si="16"/>
        <v>9.6243566663136715</v>
      </c>
      <c r="R55" s="663">
        <f>O55*(HLOOKUP($N$49,'CO2 equivalenten'!$E$4:$Q$107,(MATCH("DIE",'CO2 equivalenten'!$C$4:$C$107,0))))</f>
        <v>74.114923400000009</v>
      </c>
      <c r="W55" s="716"/>
    </row>
    <row r="56" spans="2:24" x14ac:dyDescent="0.2">
      <c r="B56" s="666" t="s">
        <v>585</v>
      </c>
      <c r="C56" s="662">
        <v>16221.3</v>
      </c>
      <c r="D56" s="662">
        <v>1669</v>
      </c>
      <c r="E56" s="663">
        <f t="shared" ref="E56:E59" si="17">IF(C56=0,0,C56/D56)</f>
        <v>9.7191731575793892</v>
      </c>
      <c r="F56" s="663">
        <f>C56*(HLOOKUP($B$55,'CO2 equivalenten'!$E$4:$Q$107,(MATCH("DIE",'CO2 equivalenten'!$C$4:$C$107,0))))</f>
        <v>52.7354463</v>
      </c>
      <c r="N56" s="666" t="s">
        <v>583</v>
      </c>
      <c r="O56" s="662">
        <v>22045.200000000001</v>
      </c>
      <c r="P56" s="662">
        <v>2329</v>
      </c>
      <c r="Q56" s="663">
        <f t="shared" si="16"/>
        <v>9.4655216831258056</v>
      </c>
      <c r="R56" s="663">
        <f>O56*(HLOOKUP($N$49,'CO2 equivalenten'!$E$4:$Q$107,(MATCH("DIE",'CO2 equivalenten'!$C$4:$C$107,0))))</f>
        <v>71.911442399999999</v>
      </c>
    </row>
    <row r="57" spans="2:24" x14ac:dyDescent="0.2">
      <c r="B57" s="666" t="s">
        <v>593</v>
      </c>
      <c r="C57" s="662">
        <v>21057.7</v>
      </c>
      <c r="D57" s="662">
        <v>1820.25</v>
      </c>
      <c r="E57" s="663">
        <f t="shared" si="17"/>
        <v>11.56857574508996</v>
      </c>
      <c r="F57" s="663">
        <f>C57*(HLOOKUP($B$55,'CO2 equivalenten'!$E$4:$Q$107,(MATCH("DIE",'CO2 equivalenten'!$C$4:$C$107,0))))</f>
        <v>68.458582700000008</v>
      </c>
      <c r="N57" s="666" t="s">
        <v>586</v>
      </c>
      <c r="O57" s="662">
        <v>19574.8</v>
      </c>
      <c r="P57" s="662">
        <v>2087.75</v>
      </c>
      <c r="Q57" s="663">
        <f t="shared" si="16"/>
        <v>9.3760268231349535</v>
      </c>
      <c r="R57" s="663">
        <f>O57*(HLOOKUP($N$49,'CO2 equivalenten'!$E$4:$Q$107,(MATCH("DIE",'CO2 equivalenten'!$C$4:$C$107,0))))</f>
        <v>63.852997600000002</v>
      </c>
    </row>
    <row r="58" spans="2:24" x14ac:dyDescent="0.2">
      <c r="B58" s="666" t="s">
        <v>594</v>
      </c>
      <c r="C58" s="662">
        <v>22894.7</v>
      </c>
      <c r="D58" s="662">
        <v>1950.25</v>
      </c>
      <c r="E58" s="663">
        <f t="shared" si="17"/>
        <v>11.73936674785284</v>
      </c>
      <c r="F58" s="663">
        <f>C58*(HLOOKUP($B$55,'CO2 equivalenten'!$E$4:$Q$107,(MATCH("DIE",'CO2 equivalenten'!$C$4:$C$107,0))))</f>
        <v>74.430669699999996</v>
      </c>
      <c r="N58" s="666" t="s">
        <v>587</v>
      </c>
      <c r="O58" s="662">
        <v>16933.8</v>
      </c>
      <c r="P58" s="662">
        <v>1981</v>
      </c>
      <c r="Q58" s="663">
        <f t="shared" si="16"/>
        <v>8.5481070166582533</v>
      </c>
      <c r="R58" s="663">
        <f>O58*(HLOOKUP($N$49,'CO2 equivalenten'!$E$4:$Q$107,(MATCH("DIE",'CO2 equivalenten'!$C$4:$C$107,0))))</f>
        <v>55.238055600000003</v>
      </c>
    </row>
    <row r="59" spans="2:24" x14ac:dyDescent="0.2">
      <c r="B59" s="666" t="s">
        <v>591</v>
      </c>
      <c r="C59" s="662">
        <v>19737.3</v>
      </c>
      <c r="D59" s="662">
        <v>2128.5</v>
      </c>
      <c r="E59" s="663">
        <f t="shared" si="17"/>
        <v>9.2728682170542633</v>
      </c>
      <c r="F59" s="663">
        <f>C59*(HLOOKUP($B$55,'CO2 equivalenten'!$E$4:$Q$107,(MATCH("DIE",'CO2 equivalenten'!$C$4:$C$107,0))))</f>
        <v>64.165962300000004</v>
      </c>
      <c r="N59" s="666" t="s">
        <v>588</v>
      </c>
      <c r="O59" s="662">
        <v>19421.2</v>
      </c>
      <c r="P59" s="662">
        <v>2066.25</v>
      </c>
      <c r="Q59" s="663">
        <f t="shared" si="16"/>
        <v>9.3992498487598315</v>
      </c>
      <c r="R59" s="663">
        <f>O59*(HLOOKUP($N$49,'CO2 equivalenten'!$E$4:$Q$107,(MATCH("DIE",'CO2 equivalenten'!$C$4:$C$107,0))))</f>
        <v>63.351954400000004</v>
      </c>
    </row>
    <row r="60" spans="2:24" x14ac:dyDescent="0.2">
      <c r="B60" s="670" t="s">
        <v>31</v>
      </c>
      <c r="C60" s="668">
        <f>SUM(C56:C59)</f>
        <v>79911</v>
      </c>
      <c r="D60" s="668">
        <f>SUM(D56:D59)</f>
        <v>7568</v>
      </c>
      <c r="E60" s="669">
        <f>C60/D60</f>
        <v>10.559064482029598</v>
      </c>
      <c r="F60" s="669">
        <f>SUM(F56:F59)</f>
        <v>259.790661</v>
      </c>
      <c r="N60" s="666" t="s">
        <v>589</v>
      </c>
      <c r="O60" s="662">
        <v>15421.5</v>
      </c>
      <c r="P60" s="662">
        <v>2076.75</v>
      </c>
      <c r="Q60" s="663">
        <f t="shared" si="16"/>
        <v>7.4257854821235103</v>
      </c>
      <c r="R60" s="663">
        <f>O60*(HLOOKUP($N$49,'CO2 equivalenten'!$E$4:$Q$107,(MATCH("DIE",'CO2 equivalenten'!$C$4:$C$107,0))))</f>
        <v>50.304933000000005</v>
      </c>
    </row>
    <row r="61" spans="2:24" x14ac:dyDescent="0.2">
      <c r="N61" s="666" t="s">
        <v>590</v>
      </c>
      <c r="O61" s="662">
        <v>17111.3</v>
      </c>
      <c r="P61" s="662">
        <v>1859.5</v>
      </c>
      <c r="Q61" s="663">
        <f t="shared" si="16"/>
        <v>9.2020973379940845</v>
      </c>
      <c r="R61" s="663">
        <f>O61*(HLOOKUP($N$49,'CO2 equivalenten'!$E$4:$Q$107,(MATCH("DIE",'CO2 equivalenten'!$C$4:$C$107,0))))</f>
        <v>55.817060599999998</v>
      </c>
    </row>
    <row r="62" spans="2:24" x14ac:dyDescent="0.2">
      <c r="N62" s="670" t="s">
        <v>31</v>
      </c>
      <c r="O62" s="668">
        <f>SUM(O50:O61)</f>
        <v>200221.3</v>
      </c>
      <c r="P62" s="668">
        <f>SUM(P50:P61)</f>
        <v>22885.25</v>
      </c>
      <c r="Q62" s="671">
        <v>8.75</v>
      </c>
      <c r="R62" s="669">
        <f>SUM(R50:R61)</f>
        <v>653.12188059999994</v>
      </c>
    </row>
    <row r="64" spans="2:24" x14ac:dyDescent="0.2">
      <c r="N64" s="658">
        <v>2022</v>
      </c>
      <c r="O64" s="656" t="s">
        <v>563</v>
      </c>
      <c r="P64" s="656" t="s">
        <v>564</v>
      </c>
      <c r="Q64" s="656" t="s">
        <v>565</v>
      </c>
      <c r="R64" s="656" t="s">
        <v>566</v>
      </c>
    </row>
    <row r="65" spans="14:18" x14ac:dyDescent="0.2">
      <c r="N65" s="666" t="s">
        <v>574</v>
      </c>
      <c r="O65" s="662">
        <v>0</v>
      </c>
      <c r="P65" s="662">
        <v>0</v>
      </c>
      <c r="Q65" s="663">
        <f>IF(O65=0,0,O65/P65)</f>
        <v>0</v>
      </c>
      <c r="R65" s="663">
        <f>O65*(HLOOKUP($N$64,'CO2 equivalenten'!$E$4:$Q$107,(MATCH("DIE",'CO2 equivalenten'!$C$4:$C$107,0))))</f>
        <v>0</v>
      </c>
    </row>
    <row r="66" spans="14:18" x14ac:dyDescent="0.2">
      <c r="N66" s="666" t="s">
        <v>572</v>
      </c>
      <c r="O66" s="662">
        <v>7818.7</v>
      </c>
      <c r="P66" s="662">
        <v>1203.25</v>
      </c>
      <c r="Q66" s="663">
        <f t="shared" ref="Q66:Q80" si="18">IF(O66=0,0,O66/P66)</f>
        <v>6.4979846249740287</v>
      </c>
      <c r="R66" s="663">
        <f>O66*(HLOOKUP($N$64,'CO2 equivalenten'!$E$4:$Q$107,(MATCH("DIE",'CO2 equivalenten'!$C$4:$C$107,0))))</f>
        <v>25.5045994</v>
      </c>
    </row>
    <row r="67" spans="14:18" x14ac:dyDescent="0.2">
      <c r="N67" s="666" t="s">
        <v>575</v>
      </c>
      <c r="O67" s="662">
        <v>12788.5</v>
      </c>
      <c r="P67" s="662">
        <v>1819.25</v>
      </c>
      <c r="Q67" s="663">
        <f t="shared" si="18"/>
        <v>7.0295451422289403</v>
      </c>
      <c r="R67" s="663">
        <f>O67*(HLOOKUP($N$64,'CO2 equivalenten'!$E$4:$Q$107,(MATCH("DIE",'CO2 equivalenten'!$C$4:$C$107,0))))</f>
        <v>41.716087000000002</v>
      </c>
    </row>
    <row r="68" spans="14:18" x14ac:dyDescent="0.2">
      <c r="N68" s="666" t="s">
        <v>580</v>
      </c>
      <c r="O68" s="662">
        <v>17320.900000000001</v>
      </c>
      <c r="P68" s="662">
        <v>2030.75</v>
      </c>
      <c r="Q68" s="663">
        <f t="shared" si="18"/>
        <v>8.529311830604458</v>
      </c>
      <c r="R68" s="663">
        <f>O68*(HLOOKUP($N$64,'CO2 equivalenten'!$E$4:$Q$107,(MATCH("DIE",'CO2 equivalenten'!$C$4:$C$107,0))))</f>
        <v>56.500775800000007</v>
      </c>
    </row>
    <row r="69" spans="14:18" x14ac:dyDescent="0.2">
      <c r="N69" s="666" t="s">
        <v>581</v>
      </c>
      <c r="O69" s="662">
        <v>13203.1</v>
      </c>
      <c r="P69" s="662">
        <v>1671.5</v>
      </c>
      <c r="Q69" s="663">
        <f t="shared" si="18"/>
        <v>7.8989530361950342</v>
      </c>
      <c r="R69" s="663">
        <f>O69*(HLOOKUP($N$64,'CO2 equivalenten'!$E$4:$Q$107,(MATCH("DIE",'CO2 equivalenten'!$C$4:$C$107,0))))</f>
        <v>43.068512200000001</v>
      </c>
    </row>
    <row r="70" spans="14:18" x14ac:dyDescent="0.2">
      <c r="N70" s="666" t="s">
        <v>582</v>
      </c>
      <c r="O70" s="662">
        <v>20176.5</v>
      </c>
      <c r="P70" s="662">
        <v>2236</v>
      </c>
      <c r="Q70" s="663">
        <f t="shared" si="18"/>
        <v>9.0234794275491943</v>
      </c>
      <c r="R70" s="663">
        <f>O70*(HLOOKUP($N$64,'CO2 equivalenten'!$E$4:$Q$107,(MATCH("DIE",'CO2 equivalenten'!$C$4:$C$107,0))))</f>
        <v>65.815742999999998</v>
      </c>
    </row>
    <row r="71" spans="14:18" x14ac:dyDescent="0.2">
      <c r="N71" s="666" t="s">
        <v>583</v>
      </c>
      <c r="O71" s="662">
        <v>19251.7</v>
      </c>
      <c r="P71" s="662">
        <v>2284.5</v>
      </c>
      <c r="Q71" s="663">
        <f t="shared" si="18"/>
        <v>8.4270956445611738</v>
      </c>
      <c r="R71" s="663">
        <f>O71*(HLOOKUP($N$64,'CO2 equivalenten'!$E$4:$Q$107,(MATCH("DIE",'CO2 equivalenten'!$C$4:$C$107,0))))</f>
        <v>62.799045400000004</v>
      </c>
    </row>
    <row r="72" spans="14:18" x14ac:dyDescent="0.2">
      <c r="N72" s="666" t="s">
        <v>586</v>
      </c>
      <c r="O72" s="662">
        <v>15997.2</v>
      </c>
      <c r="P72" s="662">
        <v>1794</v>
      </c>
      <c r="Q72" s="663">
        <f t="shared" si="18"/>
        <v>8.9170568561872905</v>
      </c>
      <c r="R72" s="663">
        <f>O72*(HLOOKUP($N$64,'CO2 equivalenten'!$E$4:$Q$107,(MATCH("DIE",'CO2 equivalenten'!$C$4:$C$107,0))))</f>
        <v>52.182866400000002</v>
      </c>
    </row>
    <row r="73" spans="14:18" x14ac:dyDescent="0.2">
      <c r="N73" s="666" t="s">
        <v>587</v>
      </c>
      <c r="O73" s="662">
        <v>17677.7</v>
      </c>
      <c r="P73" s="662">
        <v>2015.5</v>
      </c>
      <c r="Q73" s="663">
        <f t="shared" si="18"/>
        <v>8.7708757132225266</v>
      </c>
      <c r="R73" s="663">
        <f>O73*(HLOOKUP($N$64,'CO2 equivalenten'!$E$4:$Q$107,(MATCH("DIE",'CO2 equivalenten'!$C$4:$C$107,0))))</f>
        <v>57.664657400000003</v>
      </c>
    </row>
    <row r="74" spans="14:18" x14ac:dyDescent="0.2">
      <c r="N74" s="666" t="s">
        <v>588</v>
      </c>
      <c r="O74" s="662">
        <v>16838.3</v>
      </c>
      <c r="P74" s="662">
        <v>1868.75</v>
      </c>
      <c r="Q74" s="663">
        <f t="shared" si="18"/>
        <v>9.0104615384615379</v>
      </c>
      <c r="R74" s="663">
        <f>O74*(HLOOKUP($N$64,'CO2 equivalenten'!$E$4:$Q$107,(MATCH("DIE",'CO2 equivalenten'!$C$4:$C$107,0))))</f>
        <v>54.926534599999997</v>
      </c>
    </row>
    <row r="75" spans="14:18" x14ac:dyDescent="0.2">
      <c r="N75" s="666" t="s">
        <v>589</v>
      </c>
      <c r="O75" s="662">
        <v>14806.3</v>
      </c>
      <c r="P75" s="662">
        <v>1970.5</v>
      </c>
      <c r="Q75" s="663">
        <f t="shared" si="18"/>
        <v>7.5139812230398375</v>
      </c>
      <c r="R75" s="663">
        <f>O75*(HLOOKUP($N$64,'CO2 equivalenten'!$E$4:$Q$107,(MATCH("DIE",'CO2 equivalenten'!$C$4:$C$107,0))))</f>
        <v>48.2981506</v>
      </c>
    </row>
    <row r="76" spans="14:18" x14ac:dyDescent="0.2">
      <c r="N76" s="666" t="s">
        <v>590</v>
      </c>
      <c r="O76" s="662">
        <v>17949</v>
      </c>
      <c r="P76" s="662">
        <v>1911.25</v>
      </c>
      <c r="Q76" s="663">
        <f t="shared" si="18"/>
        <v>9.3912361020274684</v>
      </c>
      <c r="R76" s="663">
        <f>O76*(HLOOKUP($N$64,'CO2 equivalenten'!$E$4:$Q$107,(MATCH("DIE",'CO2 equivalenten'!$C$4:$C$107,0))))</f>
        <v>58.549638000000002</v>
      </c>
    </row>
    <row r="77" spans="14:18" x14ac:dyDescent="0.2">
      <c r="N77" s="666" t="s">
        <v>584</v>
      </c>
      <c r="O77" s="662">
        <v>13445.8</v>
      </c>
      <c r="P77" s="662">
        <v>1762.75</v>
      </c>
      <c r="Q77" s="663">
        <f t="shared" si="18"/>
        <v>7.6277407459934761</v>
      </c>
      <c r="R77" s="663">
        <f>O77*(HLOOKUP($N$64,'CO2 equivalenten'!$E$4:$Q$107,(MATCH("DIE",'CO2 equivalenten'!$C$4:$C$107,0))))</f>
        <v>43.860199600000001</v>
      </c>
    </row>
    <row r="78" spans="14:18" x14ac:dyDescent="0.2">
      <c r="N78" s="666" t="s">
        <v>578</v>
      </c>
      <c r="O78" s="662">
        <v>3396.9</v>
      </c>
      <c r="P78" s="662">
        <v>513.75</v>
      </c>
      <c r="Q78" s="663">
        <f t="shared" si="18"/>
        <v>6.611970802919708</v>
      </c>
      <c r="R78" s="663">
        <f>O78*(HLOOKUP($N$64,'CO2 equivalenten'!$E$4:$Q$107,(MATCH("DIE",'CO2 equivalenten'!$C$4:$C$107,0))))</f>
        <v>11.080687800000002</v>
      </c>
    </row>
    <row r="79" spans="14:18" x14ac:dyDescent="0.2">
      <c r="N79" s="666" t="s">
        <v>576</v>
      </c>
      <c r="O79" s="662">
        <v>1021.6</v>
      </c>
      <c r="P79" s="662">
        <v>157</v>
      </c>
      <c r="Q79" s="663">
        <f t="shared" si="18"/>
        <v>6.5070063694267519</v>
      </c>
      <c r="R79" s="663">
        <f>O79*(HLOOKUP($N$64,'CO2 equivalenten'!$E$4:$Q$107,(MATCH("DIE",'CO2 equivalenten'!$C$4:$C$107,0))))</f>
        <v>3.3324592000000002</v>
      </c>
    </row>
    <row r="80" spans="14:18" x14ac:dyDescent="0.2">
      <c r="N80" s="670" t="s">
        <v>31</v>
      </c>
      <c r="O80" s="668">
        <v>191692.2</v>
      </c>
      <c r="P80" s="668">
        <v>23238.75</v>
      </c>
      <c r="Q80" s="669">
        <f t="shared" si="18"/>
        <v>8.248817169598194</v>
      </c>
      <c r="R80" s="671">
        <v>634.30999999999995</v>
      </c>
    </row>
  </sheetData>
  <sheetProtection algorithmName="SHA-512" hashValue="iemnAcLcFw85Y7ze8QSbKvr0f+p2+qJvrdXeZ0rdpzD/xHRm6wb77r2KjJwbMHvVoP+s5hakA8oC3FMSf/LTkg==" saltValue="4L5/q+RG24MXKWO1soK/Rg==" spinCount="100000" sheet="1" objects="1" scenarios="1"/>
  <phoneticPr fontId="1" type="noConversion"/>
  <pageMargins left="0.7" right="0.7" top="0.75" bottom="0.75" header="0.3" footer="0.3"/>
  <pageSetup paperSize="9" orientation="portrait" horizontalDpi="0" verticalDpi="0"/>
  <ignoredErrors>
    <ignoredError sqref="E60 E21:E53 W5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E6390-6ED2-FD4E-A349-9D911F869E1B}">
  <dimension ref="A1:J68"/>
  <sheetViews>
    <sheetView showGridLines="0" zoomScale="150" zoomScaleNormal="150" workbookViewId="0">
      <selection activeCell="F52" sqref="F52"/>
    </sheetView>
  </sheetViews>
  <sheetFormatPr baseColWidth="10" defaultRowHeight="11" x14ac:dyDescent="0.15"/>
  <cols>
    <col min="1" max="1" width="21.83203125" style="39" customWidth="1"/>
    <col min="2" max="5" width="12.5" style="40" customWidth="1"/>
    <col min="6" max="16384" width="10.83203125" style="49"/>
  </cols>
  <sheetData>
    <row r="1" spans="1:8" x14ac:dyDescent="0.15">
      <c r="A1" s="291"/>
      <c r="B1" s="307"/>
      <c r="C1" s="307"/>
      <c r="D1" s="307"/>
      <c r="E1" s="307"/>
      <c r="F1" s="324"/>
    </row>
    <row r="2" spans="1:8" ht="16" customHeight="1" x14ac:dyDescent="0.25">
      <c r="A2" s="723" t="s">
        <v>176</v>
      </c>
      <c r="B2" s="723"/>
      <c r="C2" s="723"/>
      <c r="D2" s="290" t="s">
        <v>33</v>
      </c>
      <c r="E2" s="325" t="str">
        <f>Absoluut!K1</f>
        <v>3.1</v>
      </c>
      <c r="F2" s="324"/>
    </row>
    <row r="3" spans="1:8" x14ac:dyDescent="0.15">
      <c r="A3" s="326"/>
      <c r="B3" s="307"/>
      <c r="C3" s="307"/>
      <c r="D3" s="290" t="s">
        <v>32</v>
      </c>
      <c r="E3" s="327">
        <f>Absoluut!K2</f>
        <v>46070</v>
      </c>
      <c r="F3" s="292"/>
    </row>
    <row r="4" spans="1:8" ht="6" customHeight="1" thickBot="1" x14ac:dyDescent="0.2">
      <c r="A4" s="326"/>
      <c r="B4" s="342"/>
      <c r="C4" s="342"/>
      <c r="D4" s="342"/>
      <c r="E4" s="342"/>
      <c r="F4" s="324"/>
    </row>
    <row r="5" spans="1:8" x14ac:dyDescent="0.15">
      <c r="A5" s="319" t="s">
        <v>0</v>
      </c>
      <c r="B5" s="328" t="s">
        <v>218</v>
      </c>
      <c r="C5" s="307"/>
      <c r="D5" s="290"/>
      <c r="E5" s="327"/>
      <c r="F5" s="324"/>
    </row>
    <row r="6" spans="1:8" ht="12" thickBot="1" x14ac:dyDescent="0.2">
      <c r="A6" s="295"/>
      <c r="B6" s="329">
        <f>Absoluut!C3</f>
        <v>2021</v>
      </c>
      <c r="C6" s="330">
        <f>Absoluut!E3</f>
        <v>2023</v>
      </c>
      <c r="D6" s="331">
        <f>Absoluut!G3</f>
        <v>2024</v>
      </c>
      <c r="E6" s="332">
        <f>Absoluut!I3</f>
        <v>2025</v>
      </c>
      <c r="F6" s="324"/>
    </row>
    <row r="7" spans="1:8" x14ac:dyDescent="0.15">
      <c r="A7" s="333" t="s">
        <v>1</v>
      </c>
      <c r="B7" s="320">
        <f>'Scope Halfjaar'!B7+'Scope Halfjaar'!C7</f>
        <v>21.338183999999998</v>
      </c>
      <c r="C7" s="301">
        <f>'Scope Halfjaar'!D7+'Scope Halfjaar'!E7</f>
        <v>20.893950000000004</v>
      </c>
      <c r="D7" s="320">
        <f>'Scope Halfjaar'!F7+'Scope Halfjaar'!G7</f>
        <v>24.186756000000003</v>
      </c>
      <c r="E7" s="334">
        <f>'Scope Halfjaar'!H7+'Scope Halfjaar'!I7</f>
        <v>17.867982000000001</v>
      </c>
      <c r="F7" s="324"/>
      <c r="H7" s="201"/>
    </row>
    <row r="8" spans="1:8" ht="24" x14ac:dyDescent="0.15">
      <c r="A8" s="421" t="s">
        <v>421</v>
      </c>
      <c r="B8" s="422">
        <f>'Scope Halfjaar'!B8+'Scope Halfjaar'!C8</f>
        <v>1755.9486266000004</v>
      </c>
      <c r="C8" s="423">
        <f>'Scope Halfjaar'!D8+'Scope Halfjaar'!E8</f>
        <v>1775.7740484000001</v>
      </c>
      <c r="D8" s="422">
        <f>'Scope Halfjaar'!F8+'Scope Halfjaar'!G8</f>
        <v>1851.5680303999998</v>
      </c>
      <c r="E8" s="424">
        <f>'Scope Halfjaar'!H8+'Scope Halfjaar'!I8</f>
        <v>1991.4679959</v>
      </c>
      <c r="F8" s="324"/>
      <c r="H8" s="201"/>
    </row>
    <row r="9" spans="1:8" x14ac:dyDescent="0.15">
      <c r="A9" s="333" t="s">
        <v>10</v>
      </c>
      <c r="B9" s="320">
        <f>'Scope Halfjaar'!B9+'Scope Halfjaar'!C9</f>
        <v>35.155969999999996</v>
      </c>
      <c r="C9" s="301">
        <f>'Scope Halfjaar'!D9+'Scope Halfjaar'!E9</f>
        <v>21.073157599999998</v>
      </c>
      <c r="D9" s="320">
        <f>'Scope Halfjaar'!F9+'Scope Halfjaar'!G9</f>
        <v>32.038918629999998</v>
      </c>
      <c r="E9" s="334">
        <f>'Scope Halfjaar'!H9+'Scope Halfjaar'!I9</f>
        <v>33.955440150000001</v>
      </c>
      <c r="F9" s="324"/>
      <c r="H9" s="201"/>
    </row>
    <row r="10" spans="1:8" x14ac:dyDescent="0.15">
      <c r="A10" s="333" t="s">
        <v>121</v>
      </c>
      <c r="B10" s="320">
        <f>'Scope Halfjaar'!B10+'Scope Halfjaar'!C10</f>
        <v>4.8345179999999992</v>
      </c>
      <c r="C10" s="301">
        <f>'Scope Halfjaar'!D10+'Scope Halfjaar'!E10</f>
        <v>6.4341419999999996</v>
      </c>
      <c r="D10" s="320">
        <f>'Scope Halfjaar'!F10+'Scope Halfjaar'!G10</f>
        <v>6.5328900000000001</v>
      </c>
      <c r="E10" s="334">
        <f>'Scope Halfjaar'!H10+'Scope Halfjaar'!I10</f>
        <v>7.2195239999999998</v>
      </c>
      <c r="F10" s="324"/>
      <c r="H10" s="201"/>
    </row>
    <row r="11" spans="1:8" x14ac:dyDescent="0.15">
      <c r="A11" s="333" t="s">
        <v>11</v>
      </c>
      <c r="B11" s="320">
        <f>'Scope Halfjaar'!B11+'Scope Halfjaar'!C11</f>
        <v>0</v>
      </c>
      <c r="C11" s="301">
        <f>'Scope Halfjaar'!D11+'Scope Halfjaar'!E11</f>
        <v>0</v>
      </c>
      <c r="D11" s="320">
        <f>'Scope Halfjaar'!F11+'Scope Halfjaar'!G11</f>
        <v>0</v>
      </c>
      <c r="E11" s="334">
        <f>'Scope Halfjaar'!H11+'Scope Halfjaar'!I11</f>
        <v>0</v>
      </c>
      <c r="F11" s="324"/>
      <c r="H11" s="201"/>
    </row>
    <row r="12" spans="1:8" x14ac:dyDescent="0.15">
      <c r="A12" s="333" t="s">
        <v>2</v>
      </c>
      <c r="B12" s="320">
        <f>'Scope Halfjaar'!B12+'Scope Halfjaar'!C12</f>
        <v>0</v>
      </c>
      <c r="C12" s="301">
        <f>'Scope Halfjaar'!D12+'Scope Halfjaar'!E12</f>
        <v>0</v>
      </c>
      <c r="D12" s="320">
        <f>'Scope Halfjaar'!F12+'Scope Halfjaar'!G12</f>
        <v>0</v>
      </c>
      <c r="E12" s="334">
        <f>'Scope Halfjaar'!H12+'Scope Halfjaar'!I12</f>
        <v>0</v>
      </c>
      <c r="F12" s="324"/>
      <c r="H12" s="201"/>
    </row>
    <row r="13" spans="1:8" x14ac:dyDescent="0.15">
      <c r="A13" s="333" t="s">
        <v>123</v>
      </c>
      <c r="B13" s="320">
        <f>'Scope Halfjaar'!B13+'Scope Halfjaar'!C13</f>
        <v>0</v>
      </c>
      <c r="C13" s="301">
        <f>'Scope Halfjaar'!D13+'Scope Halfjaar'!E13</f>
        <v>0</v>
      </c>
      <c r="D13" s="320">
        <f>'Scope Halfjaar'!F13+'Scope Halfjaar'!G13</f>
        <v>0</v>
      </c>
      <c r="E13" s="334">
        <f>'Scope Halfjaar'!H13+'Scope Halfjaar'!I13</f>
        <v>0</v>
      </c>
      <c r="F13" s="324"/>
      <c r="H13" s="201"/>
    </row>
    <row r="14" spans="1:8" x14ac:dyDescent="0.15">
      <c r="A14" s="335" t="s">
        <v>12</v>
      </c>
      <c r="B14" s="321">
        <f>'Scope Halfjaar'!B14+'Scope Halfjaar'!C14</f>
        <v>0</v>
      </c>
      <c r="C14" s="322">
        <f>'Scope Halfjaar'!D14+'Scope Halfjaar'!E14</f>
        <v>0</v>
      </c>
      <c r="D14" s="321">
        <f>'Scope Halfjaar'!F14+'Scope Halfjaar'!G14</f>
        <v>0</v>
      </c>
      <c r="E14" s="336">
        <f>'Scope Halfjaar'!H14+'Scope Halfjaar'!I14</f>
        <v>0</v>
      </c>
      <c r="F14" s="324"/>
    </row>
    <row r="15" spans="1:8" x14ac:dyDescent="0.15">
      <c r="A15" s="337" t="s">
        <v>3</v>
      </c>
      <c r="B15" s="321">
        <f>SUM(B7:B14)</f>
        <v>1817.2772986000002</v>
      </c>
      <c r="C15" s="322">
        <f>SUM(C7:C14)</f>
        <v>1824.1752980000001</v>
      </c>
      <c r="D15" s="321">
        <f>SUM(D7:D14)</f>
        <v>1914.3265950299997</v>
      </c>
      <c r="E15" s="336">
        <f>SUM(E7:E14)</f>
        <v>2050.5109420499998</v>
      </c>
      <c r="F15" s="324"/>
    </row>
    <row r="16" spans="1:8" x14ac:dyDescent="0.15">
      <c r="A16" s="306"/>
      <c r="B16" s="307"/>
      <c r="C16" s="307"/>
      <c r="D16" s="307"/>
      <c r="E16" s="307"/>
      <c r="F16" s="324"/>
      <c r="G16" s="201"/>
    </row>
    <row r="17" spans="1:10" x14ac:dyDescent="0.15">
      <c r="A17" s="308" t="s">
        <v>4</v>
      </c>
      <c r="B17" s="307"/>
      <c r="C17" s="307"/>
      <c r="D17" s="307"/>
      <c r="E17" s="307"/>
      <c r="F17" s="324"/>
    </row>
    <row r="18" spans="1:10" x14ac:dyDescent="0.15">
      <c r="A18" s="317"/>
      <c r="B18" s="331">
        <f t="shared" ref="B18:E18" si="0">B6</f>
        <v>2021</v>
      </c>
      <c r="C18" s="331">
        <f t="shared" si="0"/>
        <v>2023</v>
      </c>
      <c r="D18" s="331">
        <f t="shared" si="0"/>
        <v>2024</v>
      </c>
      <c r="E18" s="331">
        <f t="shared" si="0"/>
        <v>2025</v>
      </c>
      <c r="F18" s="324"/>
    </row>
    <row r="19" spans="1:10" x14ac:dyDescent="0.15">
      <c r="A19" s="317" t="s">
        <v>34</v>
      </c>
      <c r="B19" s="338">
        <f>'Scope Halfjaar'!B19+'Scope Halfjaar'!C19</f>
        <v>21.013556582612441</v>
      </c>
      <c r="C19" s="338">
        <f>'Scope Halfjaar'!D19+'Scope Halfjaar'!E19</f>
        <v>0</v>
      </c>
      <c r="D19" s="338">
        <f>'Scope Halfjaar'!F19+'Scope Halfjaar'!G19</f>
        <v>0</v>
      </c>
      <c r="E19" s="338">
        <f>'Scope Halfjaar'!H19+'Scope Halfjaar'!I19</f>
        <v>0</v>
      </c>
      <c r="F19" s="324"/>
      <c r="H19" s="201"/>
      <c r="I19" s="201"/>
      <c r="J19" s="201"/>
    </row>
    <row r="20" spans="1:10" x14ac:dyDescent="0.15">
      <c r="A20" s="317" t="s">
        <v>438</v>
      </c>
      <c r="B20" s="338">
        <f>'Scope Halfjaar'!B20+'Scope Halfjaar'!C20</f>
        <v>0</v>
      </c>
      <c r="C20" s="338">
        <f>'Scope Halfjaar'!D20+'Scope Halfjaar'!E20</f>
        <v>0</v>
      </c>
      <c r="D20" s="338">
        <f>'Scope Halfjaar'!F20+'Scope Halfjaar'!G20</f>
        <v>1.1598504000000001</v>
      </c>
      <c r="E20" s="338">
        <f>'Scope Halfjaar'!H20+'Scope Halfjaar'!I20</f>
        <v>3.7543578800000001</v>
      </c>
      <c r="F20" s="324"/>
      <c r="H20" s="201"/>
      <c r="I20" s="201"/>
      <c r="J20" s="201"/>
    </row>
    <row r="21" spans="1:10" x14ac:dyDescent="0.15">
      <c r="A21" s="339" t="s">
        <v>7</v>
      </c>
      <c r="B21" s="338">
        <f>B19+B20</f>
        <v>21.013556582612441</v>
      </c>
      <c r="C21" s="338">
        <f t="shared" ref="C21:E21" si="1">C19+C20</f>
        <v>0</v>
      </c>
      <c r="D21" s="338">
        <f t="shared" si="1"/>
        <v>1.1598504000000001</v>
      </c>
      <c r="E21" s="338">
        <f t="shared" si="1"/>
        <v>3.7543578800000001</v>
      </c>
      <c r="F21" s="324"/>
      <c r="H21" s="201"/>
    </row>
    <row r="22" spans="1:10" x14ac:dyDescent="0.15">
      <c r="A22" s="314"/>
      <c r="B22" s="301"/>
      <c r="C22" s="301"/>
      <c r="D22" s="301"/>
      <c r="E22" s="301"/>
      <c r="F22" s="324"/>
    </row>
    <row r="23" spans="1:10" x14ac:dyDescent="0.15">
      <c r="A23" s="340" t="s">
        <v>272</v>
      </c>
      <c r="B23" s="323">
        <f>B15+B21</f>
        <v>1838.2908551826126</v>
      </c>
      <c r="C23" s="323">
        <f t="shared" ref="C23:E23" si="2">C15+C21</f>
        <v>1824.1752980000001</v>
      </c>
      <c r="D23" s="323">
        <f t="shared" si="2"/>
        <v>1915.4864454299998</v>
      </c>
      <c r="E23" s="323">
        <f t="shared" si="2"/>
        <v>2054.2652999299999</v>
      </c>
      <c r="F23" s="324"/>
      <c r="H23" s="201"/>
    </row>
    <row r="24" spans="1:10" x14ac:dyDescent="0.15">
      <c r="A24" s="306"/>
      <c r="B24" s="307"/>
      <c r="C24" s="307"/>
      <c r="D24" s="307"/>
      <c r="E24" s="307"/>
      <c r="F24" s="324"/>
    </row>
    <row r="25" spans="1:10" x14ac:dyDescent="0.15">
      <c r="A25" s="308" t="s">
        <v>439</v>
      </c>
      <c r="B25" s="307"/>
      <c r="C25" s="307"/>
      <c r="D25" s="307"/>
      <c r="E25" s="307"/>
      <c r="F25" s="324"/>
    </row>
    <row r="26" spans="1:10" x14ac:dyDescent="0.15">
      <c r="A26" s="514" t="s">
        <v>440</v>
      </c>
      <c r="B26" s="331">
        <f t="shared" ref="B26:E26" si="3">B6</f>
        <v>2021</v>
      </c>
      <c r="C26" s="330">
        <f t="shared" si="3"/>
        <v>2023</v>
      </c>
      <c r="D26" s="331">
        <f t="shared" si="3"/>
        <v>2024</v>
      </c>
      <c r="E26" s="332">
        <f t="shared" si="3"/>
        <v>2025</v>
      </c>
      <c r="F26" s="324"/>
    </row>
    <row r="27" spans="1:10" ht="23" hidden="1" customHeight="1" x14ac:dyDescent="0.15">
      <c r="A27" s="316" t="s">
        <v>442</v>
      </c>
      <c r="B27" s="320">
        <f>'Scope Halfjaar'!B27+'Scope Halfjaar'!C27</f>
        <v>0</v>
      </c>
      <c r="C27" s="301">
        <f>'Scope Halfjaar'!D27+'Scope Halfjaar'!E27</f>
        <v>0</v>
      </c>
      <c r="D27" s="320">
        <f>'Scope Halfjaar'!F27+'Scope Halfjaar'!G27</f>
        <v>0</v>
      </c>
      <c r="E27" s="334">
        <f>'Scope Halfjaar'!H27+'Scope Halfjaar'!I27</f>
        <v>0</v>
      </c>
      <c r="F27" s="324"/>
    </row>
    <row r="28" spans="1:10" ht="12" hidden="1" x14ac:dyDescent="0.15">
      <c r="A28" s="316" t="s">
        <v>443</v>
      </c>
      <c r="B28" s="320">
        <f>'Scope Halfjaar'!B28+'Scope Halfjaar'!C28</f>
        <v>0</v>
      </c>
      <c r="C28" s="301">
        <f>'Scope Halfjaar'!D28+'Scope Halfjaar'!E28</f>
        <v>0</v>
      </c>
      <c r="D28" s="320">
        <f>'Scope Halfjaar'!F28+'Scope Halfjaar'!G28</f>
        <v>0</v>
      </c>
      <c r="E28" s="334">
        <f>'Scope Halfjaar'!H28+'Scope Halfjaar'!I28</f>
        <v>0</v>
      </c>
      <c r="F28" s="324"/>
    </row>
    <row r="29" spans="1:10" ht="24" hidden="1" x14ac:dyDescent="0.15">
      <c r="A29" s="316" t="s">
        <v>444</v>
      </c>
      <c r="B29" s="320">
        <f>'Scope Halfjaar'!B29+'Scope Halfjaar'!C29</f>
        <v>0</v>
      </c>
      <c r="C29" s="301">
        <f>'Scope Halfjaar'!D29+'Scope Halfjaar'!E29</f>
        <v>0</v>
      </c>
      <c r="D29" s="320">
        <f>'Scope Halfjaar'!F29+'Scope Halfjaar'!G29</f>
        <v>0</v>
      </c>
      <c r="E29" s="334">
        <f>'Scope Halfjaar'!H29+'Scope Halfjaar'!I29</f>
        <v>0</v>
      </c>
      <c r="F29" s="324"/>
    </row>
    <row r="30" spans="1:10" ht="12" hidden="1" x14ac:dyDescent="0.15">
      <c r="A30" s="316" t="s">
        <v>446</v>
      </c>
      <c r="B30" s="320">
        <f>'Scope Halfjaar'!B30+'Scope Halfjaar'!C30</f>
        <v>0</v>
      </c>
      <c r="C30" s="301">
        <f>'Scope Halfjaar'!D30+'Scope Halfjaar'!E30</f>
        <v>0</v>
      </c>
      <c r="D30" s="320">
        <f>'Scope Halfjaar'!F30+'Scope Halfjaar'!G30</f>
        <v>0</v>
      </c>
      <c r="E30" s="334">
        <f>'Scope Halfjaar'!H30+'Scope Halfjaar'!I30</f>
        <v>0</v>
      </c>
      <c r="F30" s="324"/>
    </row>
    <row r="31" spans="1:10" ht="12" x14ac:dyDescent="0.15">
      <c r="A31" s="425" t="s">
        <v>445</v>
      </c>
      <c r="B31" s="320">
        <f>'Scope Halfjaar'!B31+'Scope Halfjaar'!C31</f>
        <v>3791.284138</v>
      </c>
      <c r="C31" s="301">
        <f>'Scope Halfjaar'!D31+'Scope Halfjaar'!E31</f>
        <v>1761.809387</v>
      </c>
      <c r="D31" s="320">
        <f>'Scope Halfjaar'!F31+'Scope Halfjaar'!G31</f>
        <v>3878.4518370000001</v>
      </c>
      <c r="E31" s="334">
        <f>'Scope Halfjaar'!H31+'Scope Halfjaar'!I31</f>
        <v>3786.0485490000001</v>
      </c>
      <c r="F31" s="324"/>
      <c r="H31" s="201"/>
    </row>
    <row r="32" spans="1:10" ht="12" x14ac:dyDescent="0.15">
      <c r="A32" s="316" t="s">
        <v>9</v>
      </c>
      <c r="B32" s="320">
        <f>'Scope Halfjaar'!B32+'Scope Halfjaar'!C32</f>
        <v>42.104790000000001</v>
      </c>
      <c r="C32" s="301">
        <f>'Scope Halfjaar'!D32+'Scope Halfjaar'!E32</f>
        <v>52.104528000000002</v>
      </c>
      <c r="D32" s="320">
        <f>'Scope Halfjaar'!F32+'Scope Halfjaar'!G32</f>
        <v>58.130121920000001</v>
      </c>
      <c r="E32" s="334">
        <f>'Scope Halfjaar'!H32+'Scope Halfjaar'!I32</f>
        <v>69.475766250000007</v>
      </c>
      <c r="F32" s="324"/>
      <c r="H32" s="201"/>
    </row>
    <row r="33" spans="1:8" ht="12" hidden="1" x14ac:dyDescent="0.15">
      <c r="A33" s="512" t="s">
        <v>459</v>
      </c>
      <c r="B33" s="320">
        <f>'Scope Halfjaar'!B33+'Scope Halfjaar'!C33</f>
        <v>0</v>
      </c>
      <c r="C33" s="301">
        <f>'Scope Halfjaar'!D33+'Scope Halfjaar'!E33</f>
        <v>0</v>
      </c>
      <c r="D33" s="320">
        <f>'Scope Halfjaar'!F33+'Scope Halfjaar'!G33</f>
        <v>0</v>
      </c>
      <c r="E33" s="334">
        <f>'Scope Halfjaar'!H33+'Scope Halfjaar'!I33</f>
        <v>0</v>
      </c>
      <c r="F33" s="324"/>
    </row>
    <row r="34" spans="1:8" x14ac:dyDescent="0.15">
      <c r="A34" s="339" t="s">
        <v>452</v>
      </c>
      <c r="B34" s="338">
        <f>SUM(B27:B33)</f>
        <v>3833.3889279999999</v>
      </c>
      <c r="C34" s="338">
        <f t="shared" ref="C34:E34" si="4">SUM(C27:C33)</f>
        <v>1813.9139150000001</v>
      </c>
      <c r="D34" s="338">
        <f t="shared" si="4"/>
        <v>3936.58195892</v>
      </c>
      <c r="E34" s="338">
        <f t="shared" si="4"/>
        <v>3855.5243152500002</v>
      </c>
      <c r="F34" s="324"/>
    </row>
    <row r="35" spans="1:8" x14ac:dyDescent="0.15">
      <c r="A35" s="308"/>
      <c r="B35" s="307"/>
      <c r="C35" s="307"/>
      <c r="D35" s="307"/>
      <c r="E35" s="307"/>
      <c r="F35" s="324"/>
    </row>
    <row r="36" spans="1:8" x14ac:dyDescent="0.15">
      <c r="A36" s="514" t="s">
        <v>441</v>
      </c>
      <c r="B36" s="331">
        <f>B6</f>
        <v>2021</v>
      </c>
      <c r="C36" s="331">
        <f t="shared" ref="C36:E36" si="5">C6</f>
        <v>2023</v>
      </c>
      <c r="D36" s="331">
        <f t="shared" si="5"/>
        <v>2024</v>
      </c>
      <c r="E36" s="331">
        <f t="shared" si="5"/>
        <v>2025</v>
      </c>
      <c r="F36" s="324"/>
    </row>
    <row r="37" spans="1:8" ht="12" hidden="1" x14ac:dyDescent="0.15">
      <c r="A37" s="316" t="s">
        <v>446</v>
      </c>
      <c r="B37" s="320">
        <f>'Scope Halfjaar'!B37+'Scope Halfjaar'!C37</f>
        <v>0</v>
      </c>
      <c r="C37" s="301">
        <f>'Scope Halfjaar'!D37+'Scope Halfjaar'!E37</f>
        <v>0</v>
      </c>
      <c r="D37" s="320">
        <f>'Scope Halfjaar'!F37+'Scope Halfjaar'!G37</f>
        <v>0</v>
      </c>
      <c r="E37" s="334">
        <f>'Scope Halfjaar'!H37+'Scope Halfjaar'!I37</f>
        <v>0</v>
      </c>
      <c r="F37" s="324"/>
    </row>
    <row r="38" spans="1:8" ht="24" hidden="1" x14ac:dyDescent="0.15">
      <c r="A38" s="316" t="s">
        <v>447</v>
      </c>
      <c r="B38" s="320">
        <f>'Scope Halfjaar'!B38+'Scope Halfjaar'!C38</f>
        <v>0</v>
      </c>
      <c r="C38" s="301">
        <f>'Scope Halfjaar'!D38+'Scope Halfjaar'!E38</f>
        <v>0</v>
      </c>
      <c r="D38" s="320">
        <f>'Scope Halfjaar'!F38+'Scope Halfjaar'!G38</f>
        <v>0</v>
      </c>
      <c r="E38" s="334">
        <f>'Scope Halfjaar'!H38+'Scope Halfjaar'!I38</f>
        <v>0</v>
      </c>
      <c r="F38" s="324"/>
    </row>
    <row r="39" spans="1:8" ht="12" hidden="1" x14ac:dyDescent="0.15">
      <c r="A39" s="316" t="s">
        <v>460</v>
      </c>
      <c r="B39" s="320">
        <f>'Scope Halfjaar'!B39+'Scope Halfjaar'!C39</f>
        <v>0</v>
      </c>
      <c r="C39" s="301">
        <f>'Scope Halfjaar'!D39+'Scope Halfjaar'!E39</f>
        <v>0</v>
      </c>
      <c r="D39" s="320">
        <f>'Scope Halfjaar'!F39+'Scope Halfjaar'!G39</f>
        <v>0</v>
      </c>
      <c r="E39" s="334">
        <f>'Scope Halfjaar'!H39+'Scope Halfjaar'!I39</f>
        <v>0</v>
      </c>
      <c r="F39" s="324"/>
    </row>
    <row r="40" spans="1:8" ht="24" hidden="1" x14ac:dyDescent="0.15">
      <c r="A40" s="316" t="s">
        <v>462</v>
      </c>
      <c r="B40" s="320">
        <f>'Scope Halfjaar'!B40+'Scope Halfjaar'!C40</f>
        <v>0</v>
      </c>
      <c r="C40" s="301">
        <f>'Scope Halfjaar'!D40+'Scope Halfjaar'!E40</f>
        <v>0</v>
      </c>
      <c r="D40" s="320">
        <f>'Scope Halfjaar'!F40+'Scope Halfjaar'!G40</f>
        <v>0</v>
      </c>
      <c r="E40" s="334">
        <f>'Scope Halfjaar'!H40+'Scope Halfjaar'!I40</f>
        <v>0</v>
      </c>
      <c r="F40" s="324"/>
    </row>
    <row r="41" spans="1:8" ht="12" hidden="1" x14ac:dyDescent="0.15">
      <c r="A41" s="316" t="s">
        <v>448</v>
      </c>
      <c r="B41" s="320">
        <f>'Scope Halfjaar'!B41+'Scope Halfjaar'!C41</f>
        <v>0</v>
      </c>
      <c r="C41" s="301">
        <f>'Scope Halfjaar'!D41+'Scope Halfjaar'!E41</f>
        <v>0</v>
      </c>
      <c r="D41" s="320">
        <f>'Scope Halfjaar'!F41+'Scope Halfjaar'!G41</f>
        <v>0</v>
      </c>
      <c r="E41" s="334">
        <f>'Scope Halfjaar'!H41+'Scope Halfjaar'!I41</f>
        <v>0</v>
      </c>
      <c r="F41" s="324"/>
    </row>
    <row r="42" spans="1:8" ht="12" hidden="1" x14ac:dyDescent="0.15">
      <c r="A42" s="316" t="s">
        <v>449</v>
      </c>
      <c r="B42" s="320">
        <f>'Scope Halfjaar'!B42+'Scope Halfjaar'!C42</f>
        <v>0</v>
      </c>
      <c r="C42" s="301">
        <f>'Scope Halfjaar'!D42+'Scope Halfjaar'!E42</f>
        <v>0</v>
      </c>
      <c r="D42" s="320">
        <f>'Scope Halfjaar'!F42+'Scope Halfjaar'!G42</f>
        <v>0</v>
      </c>
      <c r="E42" s="334">
        <f>'Scope Halfjaar'!H42+'Scope Halfjaar'!I42</f>
        <v>0</v>
      </c>
      <c r="F42" s="324"/>
    </row>
    <row r="43" spans="1:8" ht="12" hidden="1" x14ac:dyDescent="0.15">
      <c r="A43" s="512" t="s">
        <v>450</v>
      </c>
      <c r="B43" s="320">
        <f>'Scope Halfjaar'!B43+'Scope Halfjaar'!C43</f>
        <v>0</v>
      </c>
      <c r="C43" s="301">
        <f>'Scope Halfjaar'!D43+'Scope Halfjaar'!E43</f>
        <v>0</v>
      </c>
      <c r="D43" s="320">
        <f>'Scope Halfjaar'!F43+'Scope Halfjaar'!G43</f>
        <v>0</v>
      </c>
      <c r="E43" s="334">
        <f>'Scope Halfjaar'!H43+'Scope Halfjaar'!I43</f>
        <v>0</v>
      </c>
      <c r="F43" s="324"/>
    </row>
    <row r="44" spans="1:8" x14ac:dyDescent="0.15">
      <c r="A44" s="339" t="s">
        <v>451</v>
      </c>
      <c r="B44" s="338">
        <f>SUM(B37:B43)</f>
        <v>0</v>
      </c>
      <c r="C44" s="338">
        <f t="shared" ref="C44:E44" si="6">SUM(C37:C43)</f>
        <v>0</v>
      </c>
      <c r="D44" s="338">
        <f t="shared" si="6"/>
        <v>0</v>
      </c>
      <c r="E44" s="338">
        <f t="shared" si="6"/>
        <v>0</v>
      </c>
      <c r="F44" s="324"/>
    </row>
    <row r="45" spans="1:8" x14ac:dyDescent="0.15">
      <c r="A45" s="340" t="s">
        <v>453</v>
      </c>
      <c r="B45" s="323">
        <f>B34+B44</f>
        <v>3833.3889279999999</v>
      </c>
      <c r="C45" s="323">
        <f t="shared" ref="C45:E45" si="7">C34+C44</f>
        <v>1813.9139150000001</v>
      </c>
      <c r="D45" s="323">
        <f t="shared" si="7"/>
        <v>3936.58195892</v>
      </c>
      <c r="E45" s="323">
        <f t="shared" si="7"/>
        <v>3855.5243152500002</v>
      </c>
      <c r="F45" s="324"/>
      <c r="H45" s="201"/>
    </row>
    <row r="46" spans="1:8" ht="4" customHeight="1" x14ac:dyDescent="0.15">
      <c r="A46" s="715"/>
      <c r="B46" s="432"/>
      <c r="C46" s="432"/>
      <c r="D46" s="432"/>
      <c r="E46" s="432"/>
      <c r="F46" s="324"/>
      <c r="H46" s="201"/>
    </row>
    <row r="47" spans="1:8" x14ac:dyDescent="0.15">
      <c r="A47" s="291"/>
      <c r="B47" s="307"/>
      <c r="C47" s="307"/>
      <c r="D47" s="307"/>
      <c r="E47" s="307"/>
      <c r="F47" s="324"/>
    </row>
    <row r="48" spans="1:8" x14ac:dyDescent="0.15">
      <c r="A48" s="291"/>
      <c r="B48" s="307"/>
      <c r="C48" s="307"/>
      <c r="D48" s="307"/>
      <c r="E48" s="307"/>
      <c r="F48" s="324"/>
    </row>
    <row r="49" spans="1:9" x14ac:dyDescent="0.15">
      <c r="A49" s="291"/>
      <c r="B49" s="341">
        <f>B6</f>
        <v>2021</v>
      </c>
      <c r="C49" s="341">
        <f t="shared" ref="C49:E49" si="8">C6</f>
        <v>2023</v>
      </c>
      <c r="D49" s="341">
        <f t="shared" si="8"/>
        <v>2024</v>
      </c>
      <c r="E49" s="341">
        <f t="shared" si="8"/>
        <v>2025</v>
      </c>
      <c r="F49" s="341"/>
      <c r="G49" s="199"/>
      <c r="H49" s="199"/>
      <c r="I49" s="199"/>
    </row>
    <row r="50" spans="1:9" x14ac:dyDescent="0.15">
      <c r="A50" s="291" t="s">
        <v>13</v>
      </c>
      <c r="B50" s="301">
        <f>B15</f>
        <v>1817.2772986000002</v>
      </c>
      <c r="C50" s="301">
        <f t="shared" ref="C50:E50" si="9">C15</f>
        <v>1824.1752980000001</v>
      </c>
      <c r="D50" s="301">
        <f t="shared" si="9"/>
        <v>1914.3265950299997</v>
      </c>
      <c r="E50" s="301">
        <f t="shared" si="9"/>
        <v>2050.5109420499998</v>
      </c>
      <c r="F50" s="301"/>
      <c r="G50" s="75"/>
      <c r="H50" s="75"/>
      <c r="I50" s="75"/>
    </row>
    <row r="51" spans="1:9" x14ac:dyDescent="0.15">
      <c r="A51" s="291" t="s">
        <v>137</v>
      </c>
      <c r="B51" s="301">
        <f>B21</f>
        <v>21.013556582612441</v>
      </c>
      <c r="C51" s="301">
        <f t="shared" ref="C51:E51" si="10">C21</f>
        <v>0</v>
      </c>
      <c r="D51" s="301">
        <f t="shared" si="10"/>
        <v>1.1598504000000001</v>
      </c>
      <c r="E51" s="301">
        <f t="shared" si="10"/>
        <v>3.7543578800000001</v>
      </c>
      <c r="F51" s="301"/>
      <c r="G51" s="75"/>
      <c r="H51" s="75"/>
      <c r="I51" s="75"/>
    </row>
    <row r="52" spans="1:9" x14ac:dyDescent="0.15">
      <c r="A52" s="291" t="s">
        <v>31</v>
      </c>
      <c r="B52" s="301">
        <f>B50+B51</f>
        <v>1838.2908551826126</v>
      </c>
      <c r="C52" s="301">
        <f>C50+C51</f>
        <v>1824.1752980000001</v>
      </c>
      <c r="D52" s="301">
        <f>D50+D51</f>
        <v>1915.4864454299998</v>
      </c>
      <c r="E52" s="301">
        <f>E50+E51</f>
        <v>2054.2652999299999</v>
      </c>
      <c r="F52" s="301"/>
      <c r="G52" s="75"/>
      <c r="H52" s="75"/>
      <c r="I52" s="75"/>
    </row>
    <row r="53" spans="1:9" x14ac:dyDescent="0.15">
      <c r="A53" s="291"/>
      <c r="B53" s="307"/>
      <c r="C53" s="307"/>
      <c r="D53" s="307"/>
      <c r="E53" s="307"/>
      <c r="F53" s="324"/>
    </row>
    <row r="54" spans="1:9" x14ac:dyDescent="0.15">
      <c r="A54" s="291"/>
      <c r="B54" s="307"/>
      <c r="C54" s="307"/>
      <c r="D54" s="307"/>
      <c r="E54" s="307"/>
      <c r="F54" s="324"/>
    </row>
    <row r="55" spans="1:9" x14ac:dyDescent="0.15">
      <c r="A55" s="291"/>
      <c r="B55" s="307"/>
      <c r="C55" s="307"/>
      <c r="D55" s="307"/>
      <c r="E55" s="307"/>
      <c r="F55" s="324"/>
    </row>
    <row r="56" spans="1:9" x14ac:dyDescent="0.15">
      <c r="A56" s="291"/>
      <c r="B56" s="307"/>
      <c r="C56" s="307"/>
      <c r="D56" s="307"/>
      <c r="E56" s="307"/>
      <c r="F56" s="324"/>
    </row>
    <row r="57" spans="1:9" x14ac:dyDescent="0.15">
      <c r="A57" s="291"/>
      <c r="B57" s="307"/>
      <c r="C57" s="307"/>
      <c r="D57" s="307"/>
      <c r="E57" s="307"/>
      <c r="F57" s="324"/>
    </row>
    <row r="58" spans="1:9" x14ac:dyDescent="0.15">
      <c r="A58" s="291"/>
      <c r="B58" s="307"/>
      <c r="C58" s="307"/>
      <c r="D58" s="307"/>
      <c r="E58" s="307"/>
      <c r="F58" s="324"/>
    </row>
    <row r="59" spans="1:9" x14ac:dyDescent="0.15">
      <c r="A59" s="291"/>
      <c r="B59" s="307"/>
      <c r="C59" s="307"/>
      <c r="D59" s="307"/>
      <c r="E59" s="307"/>
      <c r="F59" s="324"/>
    </row>
    <row r="60" spans="1:9" x14ac:dyDescent="0.15">
      <c r="A60" s="291"/>
      <c r="B60" s="307"/>
      <c r="C60" s="307"/>
      <c r="D60" s="307"/>
      <c r="E60" s="307"/>
      <c r="F60" s="324"/>
    </row>
    <row r="61" spans="1:9" x14ac:dyDescent="0.15">
      <c r="A61" s="291"/>
      <c r="B61" s="307"/>
      <c r="C61" s="307"/>
      <c r="D61" s="307"/>
      <c r="E61" s="307"/>
      <c r="F61" s="324"/>
    </row>
    <row r="62" spans="1:9" x14ac:dyDescent="0.15">
      <c r="A62" s="291"/>
      <c r="B62" s="307"/>
      <c r="C62" s="307"/>
      <c r="D62" s="307"/>
      <c r="E62" s="307"/>
      <c r="F62" s="324"/>
    </row>
    <row r="63" spans="1:9" x14ac:dyDescent="0.15">
      <c r="A63" s="291"/>
      <c r="B63" s="307"/>
      <c r="C63" s="307"/>
      <c r="D63" s="307"/>
      <c r="E63" s="307"/>
      <c r="F63" s="324"/>
    </row>
    <row r="64" spans="1:9" x14ac:dyDescent="0.15">
      <c r="A64" s="291"/>
      <c r="B64" s="307"/>
      <c r="C64" s="307"/>
      <c r="D64" s="307"/>
      <c r="E64" s="307"/>
      <c r="F64" s="324"/>
    </row>
    <row r="65" spans="1:6" x14ac:dyDescent="0.15">
      <c r="A65" s="291"/>
      <c r="B65" s="307"/>
      <c r="C65" s="307"/>
      <c r="D65" s="307"/>
      <c r="E65" s="307"/>
      <c r="F65" s="324"/>
    </row>
    <row r="66" spans="1:6" x14ac:dyDescent="0.15">
      <c r="A66" s="291"/>
      <c r="B66" s="307"/>
      <c r="C66" s="307"/>
      <c r="D66" s="307"/>
      <c r="E66" s="307"/>
      <c r="F66" s="324"/>
    </row>
    <row r="67" spans="1:6" x14ac:dyDescent="0.15">
      <c r="A67" s="291"/>
      <c r="B67" s="307"/>
      <c r="C67" s="307"/>
      <c r="D67" s="307"/>
      <c r="E67" s="307"/>
      <c r="F67" s="324"/>
    </row>
    <row r="68" spans="1:6" x14ac:dyDescent="0.15">
      <c r="A68" s="326"/>
      <c r="B68" s="342"/>
      <c r="C68" s="342"/>
      <c r="D68" s="342"/>
      <c r="E68" s="342"/>
      <c r="F68" s="324"/>
    </row>
  </sheetData>
  <sheetProtection algorithmName="SHA-512" hashValue="h9KRVlnAWmhI6g2GunlT4IQ6eEiTHIE9AzzJF0c2n7Xg8ACswbN/27wCP8G8k25tVjGLaZnbf19bygdp1scMng==" saltValue="QkW8tEv91Ywr+4eJPZ0RsQ==" spinCount="100000" sheet="1" objects="1" scenarios="1"/>
  <mergeCells count="1">
    <mergeCell ref="A2:C2"/>
  </mergeCell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2882-4D3B-524D-B44A-76242C295818}">
  <sheetPr>
    <pageSetUpPr fitToPage="1"/>
  </sheetPr>
  <dimension ref="A1:M58"/>
  <sheetViews>
    <sheetView showGridLines="0" topLeftCell="A2" zoomScale="150" zoomScaleNormal="150" workbookViewId="0">
      <selection activeCell="A4" sqref="A4:I46"/>
    </sheetView>
  </sheetViews>
  <sheetFormatPr baseColWidth="10" defaultRowHeight="16" x14ac:dyDescent="0.2"/>
  <cols>
    <col min="1" max="1" width="23.33203125" style="28" customWidth="1"/>
    <col min="2" max="8" width="7.6640625" style="29" customWidth="1"/>
    <col min="9" max="9" width="7.83203125" style="29" customWidth="1"/>
    <col min="10" max="10" width="4.5" style="28" customWidth="1"/>
    <col min="11" max="16384" width="10.83203125" style="28"/>
  </cols>
  <sheetData>
    <row r="1" spans="1:10" x14ac:dyDescent="0.2">
      <c r="A1" s="288"/>
      <c r="B1" s="289"/>
      <c r="C1" s="289"/>
      <c r="D1" s="289"/>
      <c r="E1" s="289"/>
      <c r="F1" s="289"/>
      <c r="G1" s="289"/>
      <c r="H1" s="289"/>
      <c r="I1" s="289"/>
      <c r="J1" s="206"/>
    </row>
    <row r="2" spans="1:10" ht="18" x14ac:dyDescent="0.25">
      <c r="A2" s="723" t="s">
        <v>177</v>
      </c>
      <c r="B2" s="723"/>
      <c r="C2" s="723"/>
      <c r="D2" s="723"/>
      <c r="E2" s="723"/>
      <c r="F2" s="723"/>
      <c r="G2" s="723"/>
      <c r="H2" s="290" t="s">
        <v>33</v>
      </c>
      <c r="I2" s="291" t="str">
        <f>Absoluut!K1</f>
        <v>3.1</v>
      </c>
      <c r="J2" s="206"/>
    </row>
    <row r="3" spans="1:10" x14ac:dyDescent="0.2">
      <c r="A3" s="206"/>
      <c r="B3" s="288"/>
      <c r="C3" s="288"/>
      <c r="D3" s="289"/>
      <c r="E3" s="289"/>
      <c r="F3" s="289"/>
      <c r="G3" s="289"/>
      <c r="H3" s="290" t="s">
        <v>32</v>
      </c>
      <c r="I3" s="292">
        <f>Absoluut!K2</f>
        <v>46070</v>
      </c>
      <c r="J3" s="292"/>
    </row>
    <row r="4" spans="1:10" ht="5" customHeight="1" thickBot="1" x14ac:dyDescent="0.25">
      <c r="A4" s="206"/>
      <c r="B4" s="288"/>
      <c r="C4" s="288"/>
      <c r="D4" s="289"/>
      <c r="E4" s="289"/>
      <c r="F4" s="289"/>
      <c r="G4" s="289"/>
      <c r="H4" s="290"/>
      <c r="I4" s="292"/>
      <c r="J4" s="292"/>
    </row>
    <row r="5" spans="1:10" ht="14" customHeight="1" x14ac:dyDescent="0.2">
      <c r="A5" s="293" t="s">
        <v>0</v>
      </c>
      <c r="B5" s="724" t="s">
        <v>218</v>
      </c>
      <c r="C5" s="725"/>
      <c r="D5" s="289"/>
      <c r="E5" s="289"/>
      <c r="F5" s="289"/>
      <c r="G5" s="289"/>
      <c r="H5" s="290"/>
      <c r="I5" s="292"/>
      <c r="J5" s="294"/>
    </row>
    <row r="6" spans="1:10" ht="26" thickBot="1" x14ac:dyDescent="0.25">
      <c r="A6" s="295"/>
      <c r="B6" s="296" t="str">
        <f>CONCATENATE(Absoluut!C4," ",Absoluut!C3)</f>
        <v>1e helft 2021</v>
      </c>
      <c r="C6" s="720" t="str">
        <f>CONCATENATE(Absoluut!D4," ",Absoluut!C3)</f>
        <v>2e helft 2021</v>
      </c>
      <c r="D6" s="297" t="str">
        <f>CONCATENATE(Absoluut!E4," ",Absoluut!E3)</f>
        <v>1e helft 2023</v>
      </c>
      <c r="E6" s="520" t="str">
        <f>CONCATENATE(Absoluut!F4," ",Absoluut!E3)</f>
        <v>2e helft 2023</v>
      </c>
      <c r="F6" s="298" t="str">
        <f>CONCATENATE(Absoluut!G4," ",Absoluut!G3)</f>
        <v>1e helft 2024</v>
      </c>
      <c r="G6" s="520" t="str">
        <f>CONCATENATE(Absoluut!H4," ",Absoluut!G3)</f>
        <v>2e helft 2024</v>
      </c>
      <c r="H6" s="298" t="str">
        <f>CONCATENATE(Absoluut!I4," ",Absoluut!I3)</f>
        <v>1e helft 2025</v>
      </c>
      <c r="I6" s="520" t="str">
        <f>CONCATENATE(Absoluut!J4," ",Absoluut!I3)</f>
        <v>2e helft 2025</v>
      </c>
      <c r="J6" s="299"/>
    </row>
    <row r="7" spans="1:10" x14ac:dyDescent="0.2">
      <c r="A7" s="300" t="s">
        <v>1</v>
      </c>
      <c r="B7" s="301">
        <f>'CO2'!C5</f>
        <v>10.002155999999999</v>
      </c>
      <c r="C7" s="522">
        <f>'CO2'!D5</f>
        <v>11.336028000000001</v>
      </c>
      <c r="D7" s="302">
        <f>'CO2'!E5</f>
        <v>12.010383000000001</v>
      </c>
      <c r="E7" s="522">
        <f>'CO2'!F5</f>
        <v>8.8835670000000011</v>
      </c>
      <c r="F7" s="302">
        <f>'CO2'!G5</f>
        <v>12.859484</v>
      </c>
      <c r="G7" s="522">
        <f>'CO2'!H5</f>
        <v>11.327272000000001</v>
      </c>
      <c r="H7" s="302">
        <f>'CO2'!I5</f>
        <v>10.665732</v>
      </c>
      <c r="I7" s="522">
        <f>'CO2'!J5</f>
        <v>7.2022500000000003</v>
      </c>
      <c r="J7" s="299"/>
    </row>
    <row r="8" spans="1:10" ht="24" x14ac:dyDescent="0.2">
      <c r="A8" s="425" t="s">
        <v>421</v>
      </c>
      <c r="B8" s="423">
        <f>'CO2'!C6</f>
        <v>922.00951920000011</v>
      </c>
      <c r="C8" s="721">
        <f>'CO2'!D6</f>
        <v>833.93910740000013</v>
      </c>
      <c r="D8" s="426">
        <f>'CO2'!E6</f>
        <v>861.89299240000003</v>
      </c>
      <c r="E8" s="721">
        <f>'CO2'!F6</f>
        <v>913.88105599999994</v>
      </c>
      <c r="F8" s="426">
        <f>'CO2'!G6</f>
        <v>932.87655999999993</v>
      </c>
      <c r="G8" s="721">
        <f>'CO2'!H6</f>
        <v>918.69147039999984</v>
      </c>
      <c r="H8" s="426">
        <f>'CO2'!I6</f>
        <v>1008.3308102000001</v>
      </c>
      <c r="I8" s="721">
        <f>'CO2'!J6</f>
        <v>983.1371856999998</v>
      </c>
      <c r="J8" s="299"/>
    </row>
    <row r="9" spans="1:10" x14ac:dyDescent="0.2">
      <c r="A9" s="300" t="s">
        <v>10</v>
      </c>
      <c r="B9" s="301">
        <f>SUM('CO2'!C12:C14)</f>
        <v>16.209264000000001</v>
      </c>
      <c r="C9" s="522">
        <f>SUM('CO2'!D12:D14)</f>
        <v>18.946705999999999</v>
      </c>
      <c r="D9" s="302">
        <f>SUM('CO2'!E12:E14)</f>
        <v>11.349439199999999</v>
      </c>
      <c r="E9" s="522">
        <f>SUM('CO2'!F12:F14)</f>
        <v>9.7237183999999992</v>
      </c>
      <c r="F9" s="302">
        <f>SUM('CO2'!G12:G14)</f>
        <v>13.24266793</v>
      </c>
      <c r="G9" s="522">
        <f>SUM('CO2'!H12:H14)</f>
        <v>18.796250700000002</v>
      </c>
      <c r="H9" s="302">
        <f>SUM('CO2'!I12:I14)</f>
        <v>15.77519188</v>
      </c>
      <c r="I9" s="522">
        <f>SUM('CO2'!J12:J14)</f>
        <v>18.18024827</v>
      </c>
      <c r="J9" s="299"/>
    </row>
    <row r="10" spans="1:10" x14ac:dyDescent="0.2">
      <c r="A10" s="300" t="s">
        <v>121</v>
      </c>
      <c r="B10" s="301">
        <f>'CO2'!C15</f>
        <v>2.3712</v>
      </c>
      <c r="C10" s="522">
        <f>'CO2'!D15</f>
        <v>2.4633179999999997</v>
      </c>
      <c r="D10" s="302">
        <f>'CO2'!E15</f>
        <v>3.1191420000000001</v>
      </c>
      <c r="E10" s="522">
        <f>'CO2'!F15</f>
        <v>3.3149999999999995</v>
      </c>
      <c r="F10" s="302">
        <f>'CO2'!G15</f>
        <v>3.3768799999999999</v>
      </c>
      <c r="G10" s="522">
        <f>'CO2'!H15</f>
        <v>3.1560099999999998</v>
      </c>
      <c r="H10" s="302">
        <f>'CO2'!I15</f>
        <v>3.7146199999999996</v>
      </c>
      <c r="I10" s="522">
        <f>'CO2'!J15</f>
        <v>3.5049039999999998</v>
      </c>
      <c r="J10" s="299"/>
    </row>
    <row r="11" spans="1:10" x14ac:dyDescent="0.2">
      <c r="A11" s="300" t="s">
        <v>11</v>
      </c>
      <c r="B11" s="301">
        <f>'CO2'!C16</f>
        <v>0</v>
      </c>
      <c r="C11" s="522">
        <f>'CO2'!D16</f>
        <v>0</v>
      </c>
      <c r="D11" s="302">
        <f>'CO2'!E16</f>
        <v>0</v>
      </c>
      <c r="E11" s="522">
        <f>'CO2'!F16</f>
        <v>0</v>
      </c>
      <c r="F11" s="302">
        <f>'CO2'!G16</f>
        <v>0</v>
      </c>
      <c r="G11" s="522">
        <f>'CO2'!H16</f>
        <v>0</v>
      </c>
      <c r="H11" s="302">
        <f>'CO2'!I16</f>
        <v>0</v>
      </c>
      <c r="I11" s="522">
        <f>'CO2'!J16</f>
        <v>0</v>
      </c>
      <c r="J11" s="299"/>
    </row>
    <row r="12" spans="1:10" x14ac:dyDescent="0.2">
      <c r="A12" s="300" t="s">
        <v>2</v>
      </c>
      <c r="B12" s="301">
        <f>'CO2'!C17</f>
        <v>0</v>
      </c>
      <c r="C12" s="522">
        <f>'CO2'!D17</f>
        <v>0</v>
      </c>
      <c r="D12" s="302">
        <f>'CO2'!E17</f>
        <v>0</v>
      </c>
      <c r="E12" s="522">
        <f>'CO2'!F17</f>
        <v>0</v>
      </c>
      <c r="F12" s="302">
        <f>'CO2'!G17</f>
        <v>0</v>
      </c>
      <c r="G12" s="522">
        <f>'CO2'!H17</f>
        <v>0</v>
      </c>
      <c r="H12" s="302">
        <f>'CO2'!I17</f>
        <v>0</v>
      </c>
      <c r="I12" s="522">
        <f>'CO2'!J17</f>
        <v>0</v>
      </c>
      <c r="J12" s="299"/>
    </row>
    <row r="13" spans="1:10" x14ac:dyDescent="0.2">
      <c r="A13" s="300" t="s">
        <v>123</v>
      </c>
      <c r="B13" s="301">
        <f>'CO2'!C29</f>
        <v>0</v>
      </c>
      <c r="C13" s="522">
        <f>'CO2'!D29</f>
        <v>0</v>
      </c>
      <c r="D13" s="302">
        <f>'CO2'!E29</f>
        <v>0</v>
      </c>
      <c r="E13" s="522">
        <f>'CO2'!F29</f>
        <v>0</v>
      </c>
      <c r="F13" s="302">
        <f>'CO2'!G29</f>
        <v>0</v>
      </c>
      <c r="G13" s="522">
        <f>'CO2'!H29</f>
        <v>0</v>
      </c>
      <c r="H13" s="302">
        <f>'CO2'!I29</f>
        <v>0</v>
      </c>
      <c r="I13" s="522">
        <f>'CO2'!J29</f>
        <v>0</v>
      </c>
      <c r="J13" s="299"/>
    </row>
    <row r="14" spans="1:10" x14ac:dyDescent="0.2">
      <c r="A14" s="300" t="s">
        <v>12</v>
      </c>
      <c r="B14" s="301">
        <f>'CO2'!C30</f>
        <v>0</v>
      </c>
      <c r="C14" s="522">
        <f>'CO2'!D30</f>
        <v>0</v>
      </c>
      <c r="D14" s="302">
        <f>'CO2'!E30</f>
        <v>0</v>
      </c>
      <c r="E14" s="522">
        <f>'CO2'!F30</f>
        <v>0</v>
      </c>
      <c r="F14" s="302">
        <f>'CO2'!G30</f>
        <v>0</v>
      </c>
      <c r="G14" s="522">
        <f>'CO2'!H30</f>
        <v>0</v>
      </c>
      <c r="H14" s="302">
        <f>'CO2'!I30</f>
        <v>0</v>
      </c>
      <c r="I14" s="522">
        <f>'CO2'!J30</f>
        <v>0</v>
      </c>
      <c r="J14" s="299"/>
    </row>
    <row r="15" spans="1:10" x14ac:dyDescent="0.2">
      <c r="A15" s="303" t="s">
        <v>3</v>
      </c>
      <c r="B15" s="304">
        <f>SUM(B7:B14)</f>
        <v>950.59213920000013</v>
      </c>
      <c r="C15" s="527">
        <f>SUM(C7:C14)</f>
        <v>866.68515940000009</v>
      </c>
      <c r="D15" s="305">
        <f t="shared" ref="D15:H15" si="0">SUM(D7:D14)</f>
        <v>888.37195660000009</v>
      </c>
      <c r="E15" s="527">
        <f>SUM(E7:E14)</f>
        <v>935.80334140000002</v>
      </c>
      <c r="F15" s="305">
        <f t="shared" si="0"/>
        <v>962.35559192999995</v>
      </c>
      <c r="G15" s="527">
        <f>SUM(G7:G14)</f>
        <v>951.97100309999985</v>
      </c>
      <c r="H15" s="305">
        <f t="shared" si="0"/>
        <v>1038.4863540800002</v>
      </c>
      <c r="I15" s="527">
        <f>SUM(I7:I14)</f>
        <v>1012.0245879699999</v>
      </c>
      <c r="J15" s="299"/>
    </row>
    <row r="16" spans="1:10" x14ac:dyDescent="0.2">
      <c r="A16" s="306"/>
      <c r="B16" s="307"/>
      <c r="C16" s="307"/>
      <c r="D16" s="307"/>
      <c r="E16" s="307"/>
      <c r="F16" s="307"/>
      <c r="G16" s="307"/>
      <c r="H16" s="307"/>
      <c r="I16" s="307"/>
      <c r="J16" s="206"/>
    </row>
    <row r="17" spans="1:13" x14ac:dyDescent="0.2">
      <c r="A17" s="451" t="s">
        <v>4</v>
      </c>
      <c r="B17" s="307"/>
      <c r="C17" s="307"/>
      <c r="D17" s="307"/>
      <c r="E17" s="307"/>
      <c r="F17" s="307"/>
      <c r="G17" s="307"/>
      <c r="H17" s="307"/>
      <c r="I17" s="307"/>
      <c r="J17" s="206"/>
    </row>
    <row r="18" spans="1:13" ht="25" x14ac:dyDescent="0.2">
      <c r="A18" s="309"/>
      <c r="B18" s="310" t="str">
        <f>B6</f>
        <v>1e helft 2021</v>
      </c>
      <c r="C18" s="717" t="str">
        <f t="shared" ref="C18:I18" si="1">C6</f>
        <v>2e helft 2021</v>
      </c>
      <c r="D18" s="310" t="str">
        <f t="shared" si="1"/>
        <v>1e helft 2023</v>
      </c>
      <c r="E18" s="717" t="str">
        <f t="shared" si="1"/>
        <v>2e helft 2023</v>
      </c>
      <c r="F18" s="310" t="str">
        <f t="shared" si="1"/>
        <v>1e helft 2024</v>
      </c>
      <c r="G18" s="717" t="str">
        <f t="shared" si="1"/>
        <v>2e helft 2024</v>
      </c>
      <c r="H18" s="310" t="str">
        <f t="shared" si="1"/>
        <v>1e helft 2025</v>
      </c>
      <c r="I18" s="717" t="str">
        <f t="shared" si="1"/>
        <v>2e helft 2025</v>
      </c>
      <c r="J18" s="206"/>
    </row>
    <row r="19" spans="1:13" x14ac:dyDescent="0.2">
      <c r="A19" s="295" t="s">
        <v>34</v>
      </c>
      <c r="B19" s="311">
        <f>'CO2'!C33</f>
        <v>21.013556582612441</v>
      </c>
      <c r="C19" s="718">
        <f>'CO2'!D33</f>
        <v>0</v>
      </c>
      <c r="D19" s="311">
        <f>'CO2'!E33</f>
        <v>0</v>
      </c>
      <c r="E19" s="718">
        <f>'CO2'!F33</f>
        <v>0</v>
      </c>
      <c r="F19" s="311">
        <f>'CO2'!G33</f>
        <v>0</v>
      </c>
      <c r="G19" s="718">
        <f>'CO2'!H33</f>
        <v>0</v>
      </c>
      <c r="H19" s="311">
        <f>'CO2'!I33</f>
        <v>0</v>
      </c>
      <c r="I19" s="718">
        <f>'CO2'!J33</f>
        <v>0</v>
      </c>
      <c r="J19" s="206"/>
      <c r="K19" s="202"/>
      <c r="L19" s="202"/>
      <c r="M19" s="202"/>
    </row>
    <row r="20" spans="1:13" x14ac:dyDescent="0.2">
      <c r="A20" s="335" t="s">
        <v>438</v>
      </c>
      <c r="B20" s="474">
        <f>'CO2'!C44</f>
        <v>0</v>
      </c>
      <c r="C20" s="687">
        <f>'CO2'!D44</f>
        <v>0</v>
      </c>
      <c r="D20" s="474">
        <f>'CO2'!E44</f>
        <v>0</v>
      </c>
      <c r="E20" s="687">
        <f>'CO2'!F44</f>
        <v>0</v>
      </c>
      <c r="F20" s="474">
        <f>'CO2'!G44</f>
        <v>0.31949352000000003</v>
      </c>
      <c r="G20" s="687">
        <f>'CO2'!H44</f>
        <v>0.84035687999999997</v>
      </c>
      <c r="H20" s="474">
        <f>'CO2'!I44</f>
        <v>0.82719189000000004</v>
      </c>
      <c r="I20" s="524">
        <f>'CO2'!J44</f>
        <v>2.9271659900000002</v>
      </c>
      <c r="J20" s="206"/>
      <c r="K20" s="202"/>
      <c r="L20" s="202"/>
      <c r="M20" s="202"/>
    </row>
    <row r="21" spans="1:13" x14ac:dyDescent="0.2">
      <c r="A21" s="312" t="s">
        <v>7</v>
      </c>
      <c r="B21" s="313">
        <f>B19+B20</f>
        <v>21.013556582612441</v>
      </c>
      <c r="C21" s="719">
        <f t="shared" ref="C21:I21" si="2">C19+C20</f>
        <v>0</v>
      </c>
      <c r="D21" s="313">
        <f t="shared" si="2"/>
        <v>0</v>
      </c>
      <c r="E21" s="719">
        <f t="shared" si="2"/>
        <v>0</v>
      </c>
      <c r="F21" s="313">
        <f t="shared" si="2"/>
        <v>0.31949352000000003</v>
      </c>
      <c r="G21" s="719">
        <f t="shared" si="2"/>
        <v>0.84035687999999997</v>
      </c>
      <c r="H21" s="313">
        <f t="shared" si="2"/>
        <v>0.82719189000000004</v>
      </c>
      <c r="I21" s="529">
        <f t="shared" si="2"/>
        <v>2.9271659900000002</v>
      </c>
      <c r="J21" s="206"/>
    </row>
    <row r="22" spans="1:13" ht="11" customHeight="1" x14ac:dyDescent="0.2">
      <c r="A22" s="431"/>
      <c r="B22" s="432"/>
      <c r="C22" s="304"/>
      <c r="D22" s="432"/>
      <c r="E22" s="432"/>
      <c r="F22" s="432"/>
      <c r="G22" s="432"/>
      <c r="H22" s="432"/>
      <c r="I22" s="432"/>
      <c r="J22" s="206"/>
    </row>
    <row r="23" spans="1:13" x14ac:dyDescent="0.2">
      <c r="A23" s="315" t="s">
        <v>272</v>
      </c>
      <c r="B23" s="305">
        <f t="shared" ref="B23:I23" si="3">B15+B21</f>
        <v>971.60569578261254</v>
      </c>
      <c r="C23" s="527">
        <f t="shared" si="3"/>
        <v>866.68515940000009</v>
      </c>
      <c r="D23" s="305">
        <f t="shared" si="3"/>
        <v>888.37195660000009</v>
      </c>
      <c r="E23" s="527">
        <f t="shared" si="3"/>
        <v>935.80334140000002</v>
      </c>
      <c r="F23" s="305">
        <f t="shared" si="3"/>
        <v>962.67508544999998</v>
      </c>
      <c r="G23" s="527">
        <f t="shared" si="3"/>
        <v>952.81135997999979</v>
      </c>
      <c r="H23" s="305">
        <f t="shared" si="3"/>
        <v>1039.3135459700002</v>
      </c>
      <c r="I23" s="527">
        <f t="shared" si="3"/>
        <v>1014.9517539599999</v>
      </c>
      <c r="J23" s="206"/>
    </row>
    <row r="24" spans="1:13" x14ac:dyDescent="0.2">
      <c r="A24" s="314"/>
      <c r="B24" s="307"/>
      <c r="C24" s="307"/>
      <c r="D24" s="307"/>
      <c r="E24" s="307"/>
      <c r="F24" s="307"/>
      <c r="G24" s="307"/>
      <c r="H24" s="307"/>
      <c r="I24" s="307"/>
      <c r="J24" s="206"/>
    </row>
    <row r="25" spans="1:13" x14ac:dyDescent="0.2">
      <c r="A25" s="451" t="s">
        <v>454</v>
      </c>
      <c r="B25" s="307"/>
      <c r="C25" s="307"/>
      <c r="D25" s="307"/>
      <c r="E25" s="307"/>
      <c r="F25" s="307"/>
      <c r="G25" s="307"/>
      <c r="H25" s="307"/>
      <c r="I25" s="307"/>
      <c r="J25" s="206"/>
    </row>
    <row r="26" spans="1:13" ht="25" x14ac:dyDescent="0.2">
      <c r="A26" s="514" t="s">
        <v>440</v>
      </c>
      <c r="B26" s="298" t="str">
        <f t="shared" ref="B26:I26" si="4">B6</f>
        <v>1e helft 2021</v>
      </c>
      <c r="C26" s="520" t="str">
        <f t="shared" si="4"/>
        <v>2e helft 2021</v>
      </c>
      <c r="D26" s="298" t="str">
        <f t="shared" si="4"/>
        <v>1e helft 2023</v>
      </c>
      <c r="E26" s="520" t="str">
        <f t="shared" si="4"/>
        <v>2e helft 2023</v>
      </c>
      <c r="F26" s="298" t="str">
        <f t="shared" si="4"/>
        <v>1e helft 2024</v>
      </c>
      <c r="G26" s="520" t="str">
        <f t="shared" si="4"/>
        <v>2e helft 2024</v>
      </c>
      <c r="H26" s="298" t="str">
        <f t="shared" si="4"/>
        <v>1e helft 2025</v>
      </c>
      <c r="I26" s="520" t="str">
        <f t="shared" si="4"/>
        <v>2e helft 2025</v>
      </c>
      <c r="J26" s="206"/>
    </row>
    <row r="27" spans="1:13" hidden="1" x14ac:dyDescent="0.2">
      <c r="A27" s="517" t="s">
        <v>442</v>
      </c>
      <c r="B27" s="513">
        <f>'CO2'!C47</f>
        <v>0</v>
      </c>
      <c r="C27" s="681">
        <f>'CO2'!D47</f>
        <v>0</v>
      </c>
      <c r="D27" s="685">
        <f>'CO2'!E47</f>
        <v>0</v>
      </c>
      <c r="E27" s="521">
        <f>'CO2'!F47</f>
        <v>0</v>
      </c>
      <c r="F27" s="683">
        <f>'CO2'!G47</f>
        <v>0</v>
      </c>
      <c r="G27" s="681">
        <f>'CO2'!H47</f>
        <v>0</v>
      </c>
      <c r="H27" s="685">
        <f>'CO2'!I47</f>
        <v>0</v>
      </c>
      <c r="I27" s="521">
        <f>'CO2'!J47</f>
        <v>0</v>
      </c>
      <c r="J27" s="206"/>
    </row>
    <row r="28" spans="1:13" hidden="1" x14ac:dyDescent="0.2">
      <c r="A28" s="517" t="s">
        <v>443</v>
      </c>
      <c r="B28" s="302">
        <f>'CO2'!C52</f>
        <v>0</v>
      </c>
      <c r="C28" s="682">
        <f>'CO2'!D52</f>
        <v>0</v>
      </c>
      <c r="D28" s="686">
        <f>'CO2'!E52</f>
        <v>0</v>
      </c>
      <c r="E28" s="522">
        <f>'CO2'!F52</f>
        <v>0</v>
      </c>
      <c r="F28" s="684">
        <f>'CO2'!G52</f>
        <v>0</v>
      </c>
      <c r="G28" s="682">
        <f>'CO2'!H52</f>
        <v>0</v>
      </c>
      <c r="H28" s="686">
        <f>'CO2'!I52</f>
        <v>0</v>
      </c>
      <c r="I28" s="522">
        <f>'CO2'!J52</f>
        <v>0</v>
      </c>
      <c r="J28" s="206"/>
    </row>
    <row r="29" spans="1:13" ht="24" hidden="1" x14ac:dyDescent="0.2">
      <c r="A29" s="517" t="s">
        <v>444</v>
      </c>
      <c r="B29" s="302">
        <f>'CO2'!C47</f>
        <v>0</v>
      </c>
      <c r="C29" s="682">
        <f>'CO2'!D47</f>
        <v>0</v>
      </c>
      <c r="D29" s="686">
        <f>'CO2'!E47</f>
        <v>0</v>
      </c>
      <c r="E29" s="522">
        <f>'CO2'!F47</f>
        <v>0</v>
      </c>
      <c r="F29" s="684">
        <f>'CO2'!G47</f>
        <v>0</v>
      </c>
      <c r="G29" s="682">
        <f>'CO2'!H47</f>
        <v>0</v>
      </c>
      <c r="H29" s="686">
        <f>'CO2'!I47</f>
        <v>0</v>
      </c>
      <c r="I29" s="522">
        <f>'CO2'!J47</f>
        <v>0</v>
      </c>
      <c r="J29" s="206"/>
    </row>
    <row r="30" spans="1:13" hidden="1" x14ac:dyDescent="0.2">
      <c r="A30" s="517" t="s">
        <v>446</v>
      </c>
      <c r="B30" s="302">
        <f>'CO2'!C62</f>
        <v>0</v>
      </c>
      <c r="C30" s="682">
        <f>'CO2'!D62</f>
        <v>0</v>
      </c>
      <c r="D30" s="686">
        <f>'CO2'!E62</f>
        <v>0</v>
      </c>
      <c r="E30" s="522">
        <f>'CO2'!F62</f>
        <v>0</v>
      </c>
      <c r="F30" s="684">
        <f>'CO2'!G62</f>
        <v>0</v>
      </c>
      <c r="G30" s="682">
        <f>'CO2'!H62</f>
        <v>0</v>
      </c>
      <c r="H30" s="686">
        <f>'CO2'!I62</f>
        <v>0</v>
      </c>
      <c r="I30" s="522">
        <f>'CO2'!J62</f>
        <v>0</v>
      </c>
      <c r="J30" s="206"/>
    </row>
    <row r="31" spans="1:13" x14ac:dyDescent="0.2">
      <c r="A31" s="517" t="s">
        <v>445</v>
      </c>
      <c r="B31" s="302">
        <f>'CO2'!C67</f>
        <v>1189.9558999999999</v>
      </c>
      <c r="C31" s="682">
        <f>'CO2'!D67</f>
        <v>2601.3282380000001</v>
      </c>
      <c r="D31" s="302">
        <f>'CO2'!E67</f>
        <v>1761.809387</v>
      </c>
      <c r="E31" s="522">
        <f>'CO2'!F67</f>
        <v>0</v>
      </c>
      <c r="F31" s="301">
        <f>'CO2'!G67</f>
        <v>1855.8264829999998</v>
      </c>
      <c r="G31" s="682">
        <f>'CO2'!H67</f>
        <v>2022.6253540000002</v>
      </c>
      <c r="H31" s="686">
        <f>'CO2'!I67</f>
        <v>1814.7314699999999</v>
      </c>
      <c r="I31" s="522">
        <f>'CO2'!J67</f>
        <v>1971.3170789999999</v>
      </c>
      <c r="J31" s="206"/>
    </row>
    <row r="32" spans="1:13" x14ac:dyDescent="0.2">
      <c r="A32" s="517" t="s">
        <v>9</v>
      </c>
      <c r="B32" s="302">
        <f>'CO2'!C117</f>
        <v>21.042449999999999</v>
      </c>
      <c r="C32" s="523">
        <f>'CO2'!D117</f>
        <v>21.062340000000003</v>
      </c>
      <c r="D32" s="302">
        <f>'CO2'!E117</f>
        <v>24.275116500000003</v>
      </c>
      <c r="E32" s="523">
        <f>'CO2'!F117</f>
        <v>27.829411499999999</v>
      </c>
      <c r="F32" s="302">
        <f>'CO2'!G117</f>
        <v>27.130739999999999</v>
      </c>
      <c r="G32" s="682">
        <f>'CO2'!H117</f>
        <v>30.999381920000001</v>
      </c>
      <c r="H32" s="686">
        <f>'CO2'!I117</f>
        <v>32.713912500000006</v>
      </c>
      <c r="I32" s="522">
        <f>'CO2'!J117</f>
        <v>36.76185375</v>
      </c>
      <c r="J32" s="206"/>
    </row>
    <row r="33" spans="1:10" hidden="1" x14ac:dyDescent="0.2">
      <c r="A33" s="518" t="s">
        <v>459</v>
      </c>
      <c r="B33" s="474">
        <f>'CO2'!C144</f>
        <v>0</v>
      </c>
      <c r="C33" s="524">
        <f>'CO2'!D144</f>
        <v>0</v>
      </c>
      <c r="D33" s="474">
        <f>'CO2'!E144</f>
        <v>0</v>
      </c>
      <c r="E33" s="524">
        <f>'CO2'!F144</f>
        <v>0</v>
      </c>
      <c r="F33" s="687">
        <f>'CO2'!G144</f>
        <v>0</v>
      </c>
      <c r="G33" s="524">
        <f>'CO2'!H144</f>
        <v>0</v>
      </c>
      <c r="H33" s="689">
        <f>'CO2'!I144</f>
        <v>0</v>
      </c>
      <c r="I33" s="524">
        <f>'CO2'!J144</f>
        <v>0</v>
      </c>
      <c r="J33" s="206"/>
    </row>
    <row r="34" spans="1:10" x14ac:dyDescent="0.2">
      <c r="A34" s="315" t="s">
        <v>455</v>
      </c>
      <c r="B34" s="305">
        <f>SUM(B27:B33)</f>
        <v>1210.9983499999998</v>
      </c>
      <c r="C34" s="707">
        <f t="shared" ref="C34:I34" si="5">SUM(C27:C33)</f>
        <v>2622.390578</v>
      </c>
      <c r="D34" s="305">
        <f t="shared" si="5"/>
        <v>1786.0845035</v>
      </c>
      <c r="E34" s="707">
        <f t="shared" si="5"/>
        <v>27.829411499999999</v>
      </c>
      <c r="F34" s="305">
        <f t="shared" si="5"/>
        <v>1882.9572229999999</v>
      </c>
      <c r="G34" s="707">
        <f t="shared" si="5"/>
        <v>2053.6247359200001</v>
      </c>
      <c r="H34" s="305">
        <f t="shared" si="5"/>
        <v>1847.4453825000001</v>
      </c>
      <c r="I34" s="527">
        <f t="shared" si="5"/>
        <v>2008.0789327499999</v>
      </c>
      <c r="J34" s="206"/>
    </row>
    <row r="35" spans="1:10" ht="7" customHeight="1" x14ac:dyDescent="0.2">
      <c r="A35" s="539"/>
      <c r="B35" s="318"/>
      <c r="C35" s="318"/>
      <c r="D35" s="318"/>
      <c r="E35" s="318"/>
      <c r="F35" s="318"/>
      <c r="G35" s="318"/>
      <c r="H35" s="318"/>
      <c r="I35" s="318"/>
      <c r="J35" s="206"/>
    </row>
    <row r="36" spans="1:10" ht="25" x14ac:dyDescent="0.2">
      <c r="A36" s="514" t="s">
        <v>441</v>
      </c>
      <c r="B36" s="519" t="str">
        <f>B26</f>
        <v>1e helft 2021</v>
      </c>
      <c r="C36" s="525" t="str">
        <f t="shared" ref="C36:I36" si="6">C26</f>
        <v>2e helft 2021</v>
      </c>
      <c r="D36" s="519" t="str">
        <f t="shared" si="6"/>
        <v>1e helft 2023</v>
      </c>
      <c r="E36" s="525" t="str">
        <f t="shared" si="6"/>
        <v>2e helft 2023</v>
      </c>
      <c r="F36" s="519" t="str">
        <f t="shared" si="6"/>
        <v>1e helft 2024</v>
      </c>
      <c r="G36" s="525" t="str">
        <f t="shared" si="6"/>
        <v>2e helft 2024</v>
      </c>
      <c r="H36" s="519" t="str">
        <f t="shared" si="6"/>
        <v>1e helft 2025</v>
      </c>
      <c r="I36" s="528" t="str">
        <f t="shared" si="6"/>
        <v>2e helft 2025</v>
      </c>
      <c r="J36" s="206"/>
    </row>
    <row r="37" spans="1:10" hidden="1" x14ac:dyDescent="0.2">
      <c r="A37" s="517" t="s">
        <v>446</v>
      </c>
      <c r="B37" s="513">
        <f>'CO2'!C152</f>
        <v>0</v>
      </c>
      <c r="C37" s="681">
        <f>'CO2'!D152</f>
        <v>0</v>
      </c>
      <c r="D37" s="685">
        <f>'CO2'!E152</f>
        <v>0</v>
      </c>
      <c r="E37" s="521">
        <f>'CO2'!F152</f>
        <v>0</v>
      </c>
      <c r="F37" s="683">
        <f>'CO2'!G152</f>
        <v>0</v>
      </c>
      <c r="G37" s="681">
        <f>'CO2'!H152</f>
        <v>0</v>
      </c>
      <c r="H37" s="685">
        <f>'CO2'!I152</f>
        <v>0</v>
      </c>
      <c r="I37" s="521">
        <f>'CO2'!J152</f>
        <v>0</v>
      </c>
      <c r="J37" s="206"/>
    </row>
    <row r="38" spans="1:10" ht="24" hidden="1" x14ac:dyDescent="0.2">
      <c r="A38" s="517" t="s">
        <v>447</v>
      </c>
      <c r="B38" s="302">
        <f>'CO2'!C157</f>
        <v>0</v>
      </c>
      <c r="C38" s="682">
        <f>'CO2'!D157</f>
        <v>0</v>
      </c>
      <c r="D38" s="686">
        <f>'CO2'!E157</f>
        <v>0</v>
      </c>
      <c r="E38" s="522">
        <f>'CO2'!F157</f>
        <v>0</v>
      </c>
      <c r="F38" s="684">
        <f>'CO2'!G157</f>
        <v>0</v>
      </c>
      <c r="G38" s="682">
        <f>'CO2'!H157</f>
        <v>0</v>
      </c>
      <c r="H38" s="686">
        <f>'CO2'!I157</f>
        <v>0</v>
      </c>
      <c r="I38" s="522">
        <f>'CO2'!J157</f>
        <v>0</v>
      </c>
      <c r="J38" s="206"/>
    </row>
    <row r="39" spans="1:10" hidden="1" x14ac:dyDescent="0.2">
      <c r="A39" s="517" t="s">
        <v>460</v>
      </c>
      <c r="B39" s="302">
        <f>'CO2'!C162</f>
        <v>0</v>
      </c>
      <c r="C39" s="682">
        <f>'CO2'!D162</f>
        <v>0</v>
      </c>
      <c r="D39" s="686">
        <f>'CO2'!E162</f>
        <v>0</v>
      </c>
      <c r="E39" s="522">
        <f>'CO2'!F162</f>
        <v>0</v>
      </c>
      <c r="F39" s="684">
        <f>'CO2'!G162</f>
        <v>0</v>
      </c>
      <c r="G39" s="682">
        <f>'CO2'!H162</f>
        <v>0</v>
      </c>
      <c r="H39" s="686">
        <f>'CO2'!I162</f>
        <v>0</v>
      </c>
      <c r="I39" s="522">
        <f>'CO2'!J162</f>
        <v>0</v>
      </c>
      <c r="J39" s="206"/>
    </row>
    <row r="40" spans="1:10" ht="24" hidden="1" x14ac:dyDescent="0.2">
      <c r="A40" s="517" t="s">
        <v>462</v>
      </c>
      <c r="B40" s="302">
        <f>'CO2'!C167</f>
        <v>0</v>
      </c>
      <c r="C40" s="682">
        <f>'CO2'!D167</f>
        <v>0</v>
      </c>
      <c r="D40" s="686">
        <f>'CO2'!E167</f>
        <v>0</v>
      </c>
      <c r="E40" s="522">
        <f>'CO2'!F167</f>
        <v>0</v>
      </c>
      <c r="F40" s="684">
        <f>'CO2'!G167</f>
        <v>0</v>
      </c>
      <c r="G40" s="682">
        <f>'CO2'!H167</f>
        <v>0</v>
      </c>
      <c r="H40" s="686">
        <f>'CO2'!I167</f>
        <v>0</v>
      </c>
      <c r="I40" s="522">
        <f>'CO2'!J167</f>
        <v>0</v>
      </c>
      <c r="J40" s="206"/>
    </row>
    <row r="41" spans="1:10" hidden="1" x14ac:dyDescent="0.2">
      <c r="A41" s="517" t="s">
        <v>448</v>
      </c>
      <c r="B41" s="302">
        <f>'CO2'!C172</f>
        <v>0</v>
      </c>
      <c r="C41" s="682">
        <f>'CO2'!D172</f>
        <v>0</v>
      </c>
      <c r="D41" s="686">
        <f>'CO2'!E172</f>
        <v>0</v>
      </c>
      <c r="E41" s="522">
        <f>'CO2'!F172</f>
        <v>0</v>
      </c>
      <c r="F41" s="684">
        <f>'CO2'!G172</f>
        <v>0</v>
      </c>
      <c r="G41" s="682">
        <f>'CO2'!H172</f>
        <v>0</v>
      </c>
      <c r="H41" s="686">
        <f>'CO2'!I172</f>
        <v>0</v>
      </c>
      <c r="I41" s="522">
        <f>'CO2'!J172</f>
        <v>0</v>
      </c>
      <c r="J41" s="206"/>
    </row>
    <row r="42" spans="1:10" hidden="1" x14ac:dyDescent="0.2">
      <c r="A42" s="517" t="s">
        <v>449</v>
      </c>
      <c r="B42" s="302">
        <f>'CO2'!C177</f>
        <v>0</v>
      </c>
      <c r="C42" s="682">
        <f>'CO2'!D177</f>
        <v>0</v>
      </c>
      <c r="D42" s="686">
        <f>'CO2'!E177</f>
        <v>0</v>
      </c>
      <c r="E42" s="522">
        <f>'CO2'!F177</f>
        <v>0</v>
      </c>
      <c r="F42" s="684">
        <f>'CO2'!G177</f>
        <v>0</v>
      </c>
      <c r="G42" s="682">
        <f>'CO2'!H177</f>
        <v>0</v>
      </c>
      <c r="H42" s="686">
        <f>'CO2'!I177</f>
        <v>0</v>
      </c>
      <c r="I42" s="522">
        <f>'CO2'!J177</f>
        <v>0</v>
      </c>
      <c r="J42" s="206"/>
    </row>
    <row r="43" spans="1:10" hidden="1" x14ac:dyDescent="0.2">
      <c r="A43" s="518" t="s">
        <v>450</v>
      </c>
      <c r="B43" s="474">
        <f>'CO2'!C182</f>
        <v>0</v>
      </c>
      <c r="C43" s="687">
        <f>'CO2'!D182</f>
        <v>0</v>
      </c>
      <c r="D43" s="688">
        <f>'CO2'!E182</f>
        <v>0</v>
      </c>
      <c r="E43" s="524">
        <f>'CO2'!F182</f>
        <v>0</v>
      </c>
      <c r="F43" s="690">
        <f>'CO2'!G182</f>
        <v>0</v>
      </c>
      <c r="G43" s="687">
        <f>'CO2'!H182</f>
        <v>0</v>
      </c>
      <c r="H43" s="688">
        <f>'CO2'!I182</f>
        <v>0</v>
      </c>
      <c r="I43" s="524">
        <f>'CO2'!J182</f>
        <v>0</v>
      </c>
      <c r="J43" s="206"/>
    </row>
    <row r="44" spans="1:10" x14ac:dyDescent="0.2">
      <c r="A44" s="312" t="s">
        <v>456</v>
      </c>
      <c r="B44" s="313">
        <f>SUM(B37:B43)</f>
        <v>0</v>
      </c>
      <c r="C44" s="526">
        <f t="shared" ref="C44:I44" si="7">SUM(C37:C43)</f>
        <v>0</v>
      </c>
      <c r="D44" s="313">
        <f t="shared" si="7"/>
        <v>0</v>
      </c>
      <c r="E44" s="526">
        <f t="shared" si="7"/>
        <v>0</v>
      </c>
      <c r="F44" s="313">
        <f t="shared" si="7"/>
        <v>0</v>
      </c>
      <c r="G44" s="526">
        <f t="shared" si="7"/>
        <v>0</v>
      </c>
      <c r="H44" s="313">
        <f t="shared" si="7"/>
        <v>0</v>
      </c>
      <c r="I44" s="529">
        <f t="shared" si="7"/>
        <v>0</v>
      </c>
      <c r="J44" s="206"/>
    </row>
    <row r="45" spans="1:10" x14ac:dyDescent="0.2">
      <c r="A45" s="303" t="s">
        <v>453</v>
      </c>
      <c r="B45" s="305">
        <f>B34+B44</f>
        <v>1210.9983499999998</v>
      </c>
      <c r="C45" s="527">
        <f t="shared" ref="C45:I45" si="8">C34+C44</f>
        <v>2622.390578</v>
      </c>
      <c r="D45" s="305">
        <f t="shared" si="8"/>
        <v>1786.0845035</v>
      </c>
      <c r="E45" s="527">
        <f t="shared" si="8"/>
        <v>27.829411499999999</v>
      </c>
      <c r="F45" s="305">
        <f t="shared" si="8"/>
        <v>1882.9572229999999</v>
      </c>
      <c r="G45" s="527">
        <f t="shared" si="8"/>
        <v>2053.6247359200001</v>
      </c>
      <c r="H45" s="305">
        <f t="shared" si="8"/>
        <v>1847.4453825000001</v>
      </c>
      <c r="I45" s="527">
        <f t="shared" si="8"/>
        <v>2008.0789327499999</v>
      </c>
      <c r="J45" s="206"/>
    </row>
    <row r="46" spans="1:10" ht="7" customHeight="1" x14ac:dyDescent="0.2">
      <c r="A46" s="431"/>
      <c r="B46" s="432"/>
      <c r="C46" s="432"/>
      <c r="D46" s="432"/>
      <c r="E46" s="432"/>
      <c r="F46" s="432"/>
      <c r="G46" s="432"/>
      <c r="H46" s="432"/>
      <c r="I46" s="432"/>
      <c r="J46" s="206"/>
    </row>
    <row r="47" spans="1:10" x14ac:dyDescent="0.2">
      <c r="A47" s="288"/>
      <c r="B47" s="289"/>
      <c r="C47" s="289"/>
      <c r="D47" s="289"/>
      <c r="E47" s="289"/>
      <c r="F47" s="289"/>
      <c r="G47" s="289"/>
      <c r="H47" s="289"/>
      <c r="I47" s="289"/>
      <c r="J47" s="206"/>
    </row>
    <row r="48" spans="1:10" x14ac:dyDescent="0.2">
      <c r="A48" s="319" t="s">
        <v>219</v>
      </c>
      <c r="B48" s="307"/>
      <c r="C48" s="307"/>
      <c r="D48" s="307"/>
      <c r="E48" s="307"/>
      <c r="F48" s="307"/>
      <c r="G48" s="307"/>
      <c r="H48" s="307"/>
      <c r="I48" s="307"/>
      <c r="J48" s="206"/>
    </row>
    <row r="49" spans="1:10" x14ac:dyDescent="0.2">
      <c r="A49" s="71"/>
      <c r="B49" s="452">
        <f>'Scope Jaar'!B6</f>
        <v>2021</v>
      </c>
      <c r="C49" s="452">
        <f>'Scope Jaar'!C6</f>
        <v>2023</v>
      </c>
      <c r="D49" s="452">
        <f>'Scope Jaar'!D6</f>
        <v>2024</v>
      </c>
      <c r="E49" s="453">
        <f>'Scope Jaar'!E6</f>
        <v>2025</v>
      </c>
      <c r="F49" s="206"/>
      <c r="G49" s="206"/>
      <c r="H49" s="206"/>
      <c r="I49" s="206"/>
      <c r="J49" s="206"/>
    </row>
    <row r="50" spans="1:10" x14ac:dyDescent="0.2">
      <c r="A50" s="454" t="s">
        <v>433</v>
      </c>
      <c r="B50" s="455"/>
      <c r="C50" s="456"/>
      <c r="D50" s="457"/>
      <c r="E50" s="458"/>
      <c r="F50" s="206"/>
      <c r="G50" s="206"/>
      <c r="H50" s="206"/>
      <c r="I50" s="206"/>
      <c r="J50" s="206"/>
    </row>
    <row r="51" spans="1:10" x14ac:dyDescent="0.2">
      <c r="A51" s="459" t="s">
        <v>220</v>
      </c>
      <c r="B51" s="460">
        <f>B7+C7+B21+C21</f>
        <v>42.351740582612436</v>
      </c>
      <c r="C51" s="78">
        <f>D7+E7+D21+E21</f>
        <v>20.893950000000004</v>
      </c>
      <c r="D51" s="460">
        <f>IF(G7+G21=0,(F7+F21)*2,F7+G7+F21+G21)</f>
        <v>25.346606400000006</v>
      </c>
      <c r="E51" s="460">
        <f>IF(I7+I21=0,(H7+H21)*2,H7+I7+H21+I21)</f>
        <v>21.622339880000002</v>
      </c>
      <c r="F51" s="206"/>
      <c r="G51" s="206"/>
      <c r="H51" s="206"/>
      <c r="I51" s="206"/>
      <c r="J51" s="206"/>
    </row>
    <row r="52" spans="1:10" x14ac:dyDescent="0.2">
      <c r="A52" s="459" t="s">
        <v>221</v>
      </c>
      <c r="B52" s="460">
        <f>B9+C9+B42+C42+B41+C41</f>
        <v>35.155969999999996</v>
      </c>
      <c r="C52" s="78">
        <f>D9+E9+D42+E42+D41+E41</f>
        <v>21.073157599999998</v>
      </c>
      <c r="D52" s="460">
        <f>IF(G9+G41+G42=0,(F9+F41+F42)*2,F9+G9+F41+G41+F42+G42)</f>
        <v>32.038918629999998</v>
      </c>
      <c r="E52" s="460">
        <f>IF(I9+I41+I42=0,(H9+H41+H42)*2,H9+I9+H41+I41+H42+I42)</f>
        <v>33.955440150000001</v>
      </c>
      <c r="F52" s="206"/>
      <c r="G52" s="206"/>
      <c r="H52" s="206"/>
      <c r="I52" s="206"/>
      <c r="J52" s="206"/>
    </row>
    <row r="53" spans="1:10" x14ac:dyDescent="0.2">
      <c r="A53" s="516" t="s">
        <v>434</v>
      </c>
      <c r="B53" s="129">
        <f>SUM(B51:B52)</f>
        <v>77.507710582612432</v>
      </c>
      <c r="C53" s="128">
        <f t="shared" ref="C53:E53" si="9">SUM(C51:C52)</f>
        <v>41.967107600000006</v>
      </c>
      <c r="D53" s="129">
        <f t="shared" si="9"/>
        <v>57.385525030000004</v>
      </c>
      <c r="E53" s="129">
        <f t="shared" si="9"/>
        <v>55.57778003</v>
      </c>
      <c r="F53" s="206"/>
      <c r="G53" s="206"/>
      <c r="H53" s="206"/>
      <c r="I53" s="206"/>
      <c r="J53" s="206"/>
    </row>
    <row r="54" spans="1:10" x14ac:dyDescent="0.2">
      <c r="A54" s="461" t="s">
        <v>435</v>
      </c>
      <c r="B54" s="460"/>
      <c r="C54" s="78"/>
      <c r="D54" s="460"/>
      <c r="E54" s="460"/>
      <c r="F54" s="206"/>
      <c r="G54" s="206"/>
      <c r="H54" s="206"/>
      <c r="I54" s="206"/>
      <c r="J54" s="206"/>
    </row>
    <row r="55" spans="1:10" ht="25" x14ac:dyDescent="0.2">
      <c r="A55" s="459" t="s">
        <v>436</v>
      </c>
      <c r="B55" s="460">
        <f>B8+C8+B11+C11+B12+C12</f>
        <v>1755.9486266000004</v>
      </c>
      <c r="C55" s="78">
        <f>D8+E8+D11+E11+D12+E12</f>
        <v>1775.7740484000001</v>
      </c>
      <c r="D55" s="460">
        <f>IF(G8+G11+G12=0,(F8+F11+F12)*2,F8+G8+F11+G11+F12+G12)</f>
        <v>1851.5680303999998</v>
      </c>
      <c r="E55" s="460">
        <f>IF(I8+I11+I12=0,(H8+H11+H12)*2,H8+I8+H11+I11+H12+I12)</f>
        <v>1991.4679959</v>
      </c>
      <c r="F55" s="206"/>
      <c r="G55" s="206"/>
      <c r="H55" s="206"/>
      <c r="I55" s="206"/>
      <c r="J55" s="206"/>
    </row>
    <row r="56" spans="1:10" x14ac:dyDescent="0.2">
      <c r="A56" s="459" t="s">
        <v>222</v>
      </c>
      <c r="B56" s="460">
        <f>B39+C39</f>
        <v>0</v>
      </c>
      <c r="C56" s="460">
        <f>D39+E39</f>
        <v>0</v>
      </c>
      <c r="D56" s="460">
        <f>F39+G39</f>
        <v>0</v>
      </c>
      <c r="E56" s="460">
        <f>H39+I39</f>
        <v>0</v>
      </c>
      <c r="F56" s="208"/>
      <c r="G56" s="208"/>
      <c r="H56" s="208"/>
      <c r="I56" s="208"/>
      <c r="J56" s="206"/>
    </row>
    <row r="57" spans="1:10" x14ac:dyDescent="0.2">
      <c r="A57" s="462" t="s">
        <v>225</v>
      </c>
      <c r="B57" s="463">
        <f>B13+C13+B14+C14</f>
        <v>0</v>
      </c>
      <c r="C57" s="463">
        <f>D13+E13+D14+E14</f>
        <v>0</v>
      </c>
      <c r="D57" s="463">
        <f>IF(G13+G14=0,(F13+F14)*2,F13+G13+F14+G14)</f>
        <v>0</v>
      </c>
      <c r="E57" s="463">
        <f>IF(I13+I14=0,(H13+H14)*2,H13+I13+I14+H14)</f>
        <v>0</v>
      </c>
      <c r="F57" s="208"/>
      <c r="G57" s="208"/>
      <c r="H57" s="208"/>
      <c r="I57" s="208"/>
      <c r="J57" s="206"/>
    </row>
    <row r="58" spans="1:10" x14ac:dyDescent="0.2">
      <c r="A58" s="515" t="s">
        <v>437</v>
      </c>
      <c r="B58" s="129">
        <f>SUM(B55:B57)</f>
        <v>1755.9486266000004</v>
      </c>
      <c r="C58" s="129">
        <f t="shared" ref="C58:E58" si="10">SUM(C55:C57)</f>
        <v>1775.7740484000001</v>
      </c>
      <c r="D58" s="129">
        <f t="shared" si="10"/>
        <v>1851.5680303999998</v>
      </c>
      <c r="E58" s="129">
        <f t="shared" si="10"/>
        <v>1991.4679959</v>
      </c>
      <c r="F58" s="208"/>
      <c r="G58" s="208"/>
      <c r="H58" s="208"/>
      <c r="I58" s="208"/>
      <c r="J58" s="206"/>
    </row>
  </sheetData>
  <sheetProtection algorithmName="SHA-512" hashValue="7j+F9ILXRsR5K/IdzgitjyJvVF+wZv7Gp3frAkQn8bkUcnJYlTEkjIZDyrrmBhUyv2GPnV5W13llkG7Ms3ldaA==" saltValue="EdLyalPgyRg1EhZDTs6BvA==" spinCount="100000" sheet="1" objects="1" scenarios="1"/>
  <mergeCells count="2">
    <mergeCell ref="A2:G2"/>
    <mergeCell ref="B5:C5"/>
  </mergeCells>
  <pageMargins left="0.7" right="0.7" top="0.75" bottom="0.75" header="0.3" footer="0.3"/>
  <pageSetup paperSize="9" scale="92" orientation="portrait" horizontalDpi="0" verticalDpi="0"/>
  <ignoredErrors>
    <ignoredError sqref="B28:I2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34EAC-7DE6-184F-B751-7A11694A15A0}">
  <dimension ref="A1:R207"/>
  <sheetViews>
    <sheetView showGridLines="0" zoomScale="150" zoomScaleNormal="150" zoomScalePageLayoutView="140" workbookViewId="0">
      <pane ySplit="4" topLeftCell="A5" activePane="bottomLeft" state="frozen"/>
      <selection activeCell="M57" sqref="M57"/>
      <selection pane="bottomLeft" activeCell="K3" sqref="K3"/>
    </sheetView>
  </sheetViews>
  <sheetFormatPr baseColWidth="10" defaultRowHeight="11" x14ac:dyDescent="0.15"/>
  <cols>
    <col min="1" max="1" width="16.33203125" style="39" customWidth="1"/>
    <col min="2" max="2" width="8.6640625" style="39" customWidth="1"/>
    <col min="3" max="10" width="6.83203125" style="39" customWidth="1"/>
    <col min="11" max="11" width="8.5" style="39" customWidth="1"/>
    <col min="12" max="12" width="10.83203125" style="39"/>
    <col min="13" max="18" width="10.83203125" style="39" hidden="1" customWidth="1"/>
    <col min="19" max="16384" width="10.83203125" style="39"/>
  </cols>
  <sheetData>
    <row r="1" spans="1:18" ht="16" customHeight="1" thickBot="1" x14ac:dyDescent="0.25">
      <c r="A1" s="68"/>
      <c r="B1" s="741" t="s">
        <v>174</v>
      </c>
      <c r="C1" s="741"/>
      <c r="D1" s="741"/>
      <c r="E1" s="741"/>
      <c r="F1" s="741"/>
      <c r="G1" s="741"/>
      <c r="H1" s="741"/>
      <c r="I1" s="68"/>
      <c r="J1" s="70" t="s">
        <v>33</v>
      </c>
      <c r="K1" s="68" t="s">
        <v>122</v>
      </c>
    </row>
    <row r="2" spans="1:18" x14ac:dyDescent="0.15">
      <c r="A2" s="77"/>
      <c r="B2" s="68"/>
      <c r="C2" s="749" t="s">
        <v>218</v>
      </c>
      <c r="D2" s="750"/>
      <c r="E2" s="68"/>
      <c r="F2" s="68"/>
      <c r="G2" s="68"/>
      <c r="H2" s="68"/>
      <c r="I2" s="68"/>
      <c r="J2" s="70" t="s">
        <v>32</v>
      </c>
      <c r="K2" s="198">
        <v>46070</v>
      </c>
    </row>
    <row r="3" spans="1:18" ht="16" customHeight="1" x14ac:dyDescent="0.15">
      <c r="A3" s="742" t="s">
        <v>13</v>
      </c>
      <c r="B3" s="744" t="s">
        <v>17</v>
      </c>
      <c r="C3" s="728">
        <v>2021</v>
      </c>
      <c r="D3" s="729"/>
      <c r="E3" s="746">
        <v>2023</v>
      </c>
      <c r="F3" s="747"/>
      <c r="G3" s="748">
        <v>2024</v>
      </c>
      <c r="H3" s="747"/>
      <c r="I3" s="748">
        <v>2025</v>
      </c>
      <c r="J3" s="747"/>
      <c r="K3" s="82"/>
    </row>
    <row r="4" spans="1:18" ht="12" thickBot="1" x14ac:dyDescent="0.2">
      <c r="A4" s="743"/>
      <c r="B4" s="745"/>
      <c r="C4" s="83" t="s">
        <v>18</v>
      </c>
      <c r="D4" s="84" t="s">
        <v>19</v>
      </c>
      <c r="E4" s="69" t="s">
        <v>18</v>
      </c>
      <c r="F4" s="120" t="s">
        <v>19</v>
      </c>
      <c r="G4" s="706" t="s">
        <v>18</v>
      </c>
      <c r="H4" s="120" t="s">
        <v>19</v>
      </c>
      <c r="I4" s="706" t="s">
        <v>18</v>
      </c>
      <c r="J4" s="120" t="s">
        <v>19</v>
      </c>
      <c r="K4" s="120" t="s">
        <v>20</v>
      </c>
    </row>
    <row r="5" spans="1:18" ht="13" x14ac:dyDescent="0.15">
      <c r="A5" s="71" t="s">
        <v>1</v>
      </c>
      <c r="B5" s="93"/>
      <c r="C5" s="91">
        <f>(HLOOKUP(CONCATENATE($C$3,-1),alles!$D$1:$AA$314,(MATCH(M5,alles!$C$1:$C$314,0)),0))+IF(N5="",0,(HLOOKUP(CONCATENATE($C$3,-1),alles!$D$1:$AA$314,(MATCH(N5,alles!$C$1:$C$314,0)),0)))</f>
        <v>5309</v>
      </c>
      <c r="D5" s="92">
        <f>(HLOOKUP(CONCATENATE($C$3,-2),alles!$D$1:$AA$314,(MATCH(M5,alles!$C$1:$C$314,0)),0))+IF(N5="",0,(HLOOKUP(CONCATENATE($C$3,-2),alles!$D$1:$AA$314,(MATCH(N5,alles!$C$1:$C$314,0)),0)))</f>
        <v>6017</v>
      </c>
      <c r="E5" s="94">
        <f>(HLOOKUP(CONCATENATE($E$3,-1),alles!$D$1:$AA$314,(MATCH(M5,alles!$C$1:$C$314,0)),0))+IF(N5="",0,(HLOOKUP(CONCATENATE($E$3,-1),alles!$D$1:$AA$314,(MATCH(N5,alles!$C$1:$C$314,0)),0)))</f>
        <v>5777</v>
      </c>
      <c r="F5" s="95">
        <f>(HLOOKUP(CONCATENATE($E$3,-2),alles!$D$1:$AA$314,(MATCH(M5,alles!$C$1:$C$314,0)),0))+IF(N5="",0,(HLOOKUP(CONCATENATE($E$3,-2),alles!$D$1:$AA$314,(MATCH(N5,alles!$C$1:$C$314,0)),0)))</f>
        <v>4273</v>
      </c>
      <c r="G5" s="94">
        <f>(HLOOKUP(CONCATENATE($G$3,-1),alles!$D$1:$AA$314,(MATCH(M5,alles!$C$1:$C$314,0)),0))+IF(N5="",0,(HLOOKUP(CONCATENATE($G$3,-1),alles!$D$1:$AA$314,(MATCH(N5,alles!$C$1:$C$314,0)),0)))</f>
        <v>6026</v>
      </c>
      <c r="H5" s="95">
        <f>(HLOOKUP(CONCATENATE($G$3,-2),alles!$D$1:$AA$314,(MATCH(M5,alles!$C$1:$C$314,0)),0))+IF(N5="",0,(HLOOKUP(CONCATENATE($G$3,-2),alles!$D$1:$AA$314,(MATCH(N5,alles!$C$1:$C$314,0)),0)))</f>
        <v>5308</v>
      </c>
      <c r="I5" s="94">
        <f>(HLOOKUP(CONCATENATE($I$3,-1),alles!$D$1:$AA$314,(MATCH(M5,alles!$C$1:$C$314,0)),0))+IF(N5="",0,(HLOOKUP(CONCATENATE($I$3,-1),alles!$D$1:$AA$314,(MATCH(N5,alles!$C$1:$C$314,0)),0)))</f>
        <v>4998</v>
      </c>
      <c r="J5" s="95">
        <f>(HLOOKUP(CONCATENATE($I$3,-2),alles!$D$1:$AA$314,(MATCH(M5,alles!$C$1:$C$314,0)),0))+IF(N5="",0,(HLOOKUP(CONCATENATE($I$3,-2),alles!$D$1:$AA$314,(MATCH(N5,alles!$C$1:$C$314,0)),0)))</f>
        <v>3375</v>
      </c>
      <c r="K5" s="93" t="s">
        <v>134</v>
      </c>
      <c r="M5" s="39" t="s">
        <v>543</v>
      </c>
    </row>
    <row r="6" spans="1:18" ht="12" x14ac:dyDescent="0.15">
      <c r="A6" s="111" t="s">
        <v>116</v>
      </c>
      <c r="B6" s="97" t="s">
        <v>31</v>
      </c>
      <c r="C6" s="704">
        <f>SUM(C7:C10)</f>
        <v>282651.60000000003</v>
      </c>
      <c r="D6" s="705">
        <f t="shared" ref="D6:J6" si="0">SUM(D7:D10)</f>
        <v>255652.70000000004</v>
      </c>
      <c r="E6" s="704">
        <f t="shared" si="0"/>
        <v>264709.15000000002</v>
      </c>
      <c r="F6" s="705">
        <f t="shared" si="0"/>
        <v>280676</v>
      </c>
      <c r="G6" s="704">
        <f t="shared" si="0"/>
        <v>286510</v>
      </c>
      <c r="H6" s="705">
        <f t="shared" si="0"/>
        <v>282153.39999999997</v>
      </c>
      <c r="I6" s="704">
        <f t="shared" si="0"/>
        <v>310160.2</v>
      </c>
      <c r="J6" s="705">
        <f t="shared" si="0"/>
        <v>302410.69999999995</v>
      </c>
      <c r="K6" s="97" t="s">
        <v>21</v>
      </c>
    </row>
    <row r="7" spans="1:18" ht="12" x14ac:dyDescent="0.15">
      <c r="A7" s="88" t="s">
        <v>416</v>
      </c>
      <c r="B7" s="85" t="s">
        <v>14</v>
      </c>
      <c r="C7" s="86">
        <f>(HLOOKUP(CONCATENATE($C$3,-1),alles!$D$1:$AA$314,(MATCH(M7,alles!$C$1:$C$314,0)),0))+(HLOOKUP(CONCATENATE($C$3,-1),alles!$D$1:$AA$314,(MATCH(N7,alles!$C$1:$C$314,0)),0))+(HLOOKUP(CONCATENATE($C$3,-1),alles!$D$1:$AA$314,(MATCH(O7,alles!$C$1:$C$314,0)),0))+(HLOOKUP(CONCATENATE($C$3,-1),alles!$D$1:$AA$314,(MATCH(P7,alles!$C$1:$C$314,0)),0))+(HLOOKUP(CONCATENATE($C$3,-1),alles!$D$1:$AA$314,(MATCH(Q7,alles!$C$1:$C$314,0)),0))+(HLOOKUP(CONCATENATE($C$3,-1),alles!$D$1:$AA$314,(MATCH(R7,alles!$C$1:$C$314,0)),0))</f>
        <v>282651.60000000003</v>
      </c>
      <c r="D7" s="87">
        <f>(HLOOKUP(CONCATENATE($C$3,-2),alles!$D$1:$AA$314,(MATCH(M7,alles!$C$1:$C$314,0)),0))+(HLOOKUP(CONCATENATE($C$3,-2),alles!$D$1:$AA$314,(MATCH(N7,alles!$C$1:$C$314,0)),0))+(HLOOKUP(CONCATENATE($C$3,-2),alles!$D$1:$AA$314,(MATCH(O7,alles!$C$1:$C$314,0)),0))+(HLOOKUP(CONCATENATE($C$3,-2),alles!$D$1:$AA$314,(MATCH(P7,alles!$C$1:$C$314,0)),0))+(HLOOKUP(CONCATENATE($C$3,-2),alles!$D$1:$AA$314,(MATCH(Q7,alles!$C$1:$C$314,0)),0))+(HLOOKUP(CONCATENATE($C$3,-2),alles!$D$1:$AA$314,(MATCH(R7,alles!$C$1:$C$314,0)),0))</f>
        <v>255652.70000000004</v>
      </c>
      <c r="E7" s="86">
        <f>(HLOOKUP(CONCATENATE($E$3,-1),alles!$D$1:$AA$314,(MATCH(M7,alles!$C$1:$C$314,0)),0))+(HLOOKUP(CONCATENATE($E$3,-1),alles!$D$1:$AA$314,(MATCH(N7,alles!$C$1:$C$314,0)),0))+(HLOOKUP(CONCATENATE($E$3,-1),alles!$D$1:$AA$314,(MATCH(O7,alles!$C$1:$C$314,0)),0))+(HLOOKUP(CONCATENATE($E$3,-1),alles!$D$1:$AA$314,(MATCH(P7,alles!$C$1:$C$314,0)),0))+(HLOOKUP(CONCATENATE($E$3,-1),alles!$D$1:$AA$314,(MATCH(Q7,alles!$C$1:$C$314,0)),0))+(HLOOKUP(CONCATENATE($E$3,-1),alles!$D$1:$AA$314,(MATCH(R7,alles!$C$1:$C$314,0)),0))</f>
        <v>264709.15000000002</v>
      </c>
      <c r="F7" s="87">
        <f>(HLOOKUP(CONCATENATE($E$3,-2),alles!$D$1:$AA$314,(MATCH(M7,alles!$C$1:$C$314,0)),0))+(HLOOKUP(CONCATENATE($E$3,-2),alles!$D$1:$AA$314,(MATCH(N7,alles!$C$1:$C$314,0)),0))+(HLOOKUP(CONCATENATE($E$3,-2),alles!$D$1:$AA$314,(MATCH(O7,alles!$C$1:$C$314,0)),0))+(HLOOKUP(CONCATENATE($E$3,-2),alles!$D$1:$AA$314,(MATCH(P7,alles!$C$1:$C$314,0)),0))+(HLOOKUP(CONCATENATE($E$3,-2),alles!$D$1:$AA$314,(MATCH(Q7,alles!$C$1:$C$314,0)),0))+(HLOOKUP(CONCATENATE($E$3,-2),alles!$D$1:$AA$314,(MATCH(R7,alles!$C$1:$C$314,0)),0))</f>
        <v>280676</v>
      </c>
      <c r="G7" s="86">
        <f>(HLOOKUP(CONCATENATE($G$3,-1),alles!$D$1:$AA$314,(MATCH(M7,alles!$C$1:$C$314,0)),0))+(HLOOKUP(CONCATENATE($G$3,-1),alles!$D$1:$AA$314,(MATCH(N7,alles!$C$1:$C$314,0)),0))+(HLOOKUP(CONCATENATE($G$3,-1),alles!$D$1:$AA$314,(MATCH(O7,alles!$C$1:$C$314,0)),0))+(HLOOKUP(CONCATENATE($G$3,-1),alles!$D$1:$AA$314,(MATCH(P7,alles!$C$1:$C$314,0)),0))+(HLOOKUP(CONCATENATE($G$3,-1),alles!$D$1:$AA$314,(MATCH(Q7,alles!$C$1:$C$314,0)),0))+(HLOOKUP(CONCATENATE($G$3,-1),alles!$D$1:$AA$314,(MATCH(R7,alles!$C$1:$C$314,0)),0))</f>
        <v>286510</v>
      </c>
      <c r="H7" s="87">
        <f>(HLOOKUP(CONCATENATE($G$3,-2),alles!$D$1:$AA$314,(MATCH(M7,alles!$C$1:$C$314,0)),0))+(HLOOKUP(CONCATENATE($G$3,-2),alles!$D$1:$AA$314,(MATCH(N7,alles!$C$1:$C$314,0)),0))+(HLOOKUP(CONCATENATE($G$3,-2),alles!$D$1:$AA$314,(MATCH(O7,alles!$C$1:$C$314,0)),0))+(HLOOKUP(CONCATENATE($G$3,-2),alles!$D$1:$AA$314,(MATCH(P7,alles!$C$1:$C$314,0)),0))+(HLOOKUP(CONCATENATE($G$3,-2),alles!$D$1:$AA$314,(MATCH(Q7,alles!$C$1:$C$314,0)),0))+(HLOOKUP(CONCATENATE($G$3,-2),alles!$D$1:$AA$314,(MATCH(R7,alles!$C$1:$C$314,0)),0))</f>
        <v>282153.39999999997</v>
      </c>
      <c r="I7" s="86">
        <f>(HLOOKUP(CONCATENATE($I$3,-1),alles!$D$1:$AA$314,(MATCH(M7,alles!$C$1:$C$314,0)),0))+(HLOOKUP(CONCATENATE($I$3,-1),alles!$D$1:$AA$314,(MATCH(N7,alles!$C$1:$C$314,0)),0))+(HLOOKUP(CONCATENATE($I$3,-1),alles!$D$1:$AA$314,(MATCH(O7,alles!$C$1:$C$314,0)),0))+(HLOOKUP(CONCATENATE($I$3,-1),alles!$D$1:$AA$314,(MATCH(P7,alles!$C$1:$C$314,0)),0))+(HLOOKUP(CONCATENATE($I$3,-1),alles!$D$1:$AA$314,(MATCH(Q7,alles!$C$1:$C$314,0)),0))+(HLOOKUP(CONCATENATE($I$3,-1),alles!$D$1:$AA$314,(MATCH(R7,alles!$C$1:$C$314,0)),0))</f>
        <v>310160.2</v>
      </c>
      <c r="J7" s="87">
        <f>(HLOOKUP(CONCATENATE($I$3,-2),alles!$D$1:$AA$314,(MATCH(M7,alles!$C$1:$C$314,0)),0))+(HLOOKUP(CONCATENATE($I$3,-2),alles!$D$1:$AA$314,(MATCH(N7,alles!$C$1:$C$314,0)),0))+(HLOOKUP(CONCATENATE($I$3,-2),alles!$D$1:$AA$314,(MATCH(O7,alles!$C$1:$C$314,0)),0))+(HLOOKUP(CONCATENATE($I$3,-2),alles!$D$1:$AA$314,(MATCH(P7,alles!$C$1:$C$314,0)),0))+(HLOOKUP(CONCATENATE($I$3,-2),alles!$D$1:$AA$314,(MATCH(Q7,alles!$C$1:$C$314,0)),0))+(HLOOKUP(CONCATENATE($I$3,-2),alles!$D$1:$AA$314,(MATCH(R7,alles!$C$1:$C$314,0)),0))</f>
        <v>302410.69999999995</v>
      </c>
      <c r="K7" s="85" t="s">
        <v>21</v>
      </c>
      <c r="M7" s="39" t="s">
        <v>406</v>
      </c>
      <c r="N7" s="39" t="s">
        <v>408</v>
      </c>
      <c r="O7" s="39" t="s">
        <v>409</v>
      </c>
      <c r="P7" s="39" t="s">
        <v>410</v>
      </c>
      <c r="Q7" s="39" t="s">
        <v>411</v>
      </c>
      <c r="R7" s="39" t="s">
        <v>415</v>
      </c>
    </row>
    <row r="8" spans="1:18" ht="12" x14ac:dyDescent="0.15">
      <c r="A8" s="88" t="s">
        <v>417</v>
      </c>
      <c r="B8" s="85" t="s">
        <v>15</v>
      </c>
      <c r="C8" s="86">
        <f>(HLOOKUP(CONCATENATE($C$3,-1),alles!$D$1:$AA$314,(MATCH(M8,alles!$C$1:$C$314,0)),0))</f>
        <v>0</v>
      </c>
      <c r="D8" s="87">
        <f>(HLOOKUP(CONCATENATE($C$3,-2),alles!$D$1:$AA$314,(MATCH(M8,alles!$C$1:$C$314,0)),0))</f>
        <v>0</v>
      </c>
      <c r="E8" s="86">
        <f>(HLOOKUP(CONCATENATE($E$3,-1),alles!$D$1:$AA$314,(MATCH(M8,alles!$C$1:$C$314,0)),0))</f>
        <v>0</v>
      </c>
      <c r="F8" s="87">
        <f>(HLOOKUP(CONCATENATE($E$3,-2),alles!$D$1:$AA$314,(MATCH(M8,alles!$C$1:$C$314,0)),0))</f>
        <v>0</v>
      </c>
      <c r="G8" s="86">
        <f>(HLOOKUP(CONCATENATE($G$3,-1),alles!$D$1:$AA$314,(MATCH(M8,alles!$C$1:$C$314,0)),0))</f>
        <v>0</v>
      </c>
      <c r="H8" s="87">
        <f>(HLOOKUP(CONCATENATE($G$3,-2),alles!$D$1:$AA$314,(MATCH(M8,alles!$C$1:$C$314,0)),0))</f>
        <v>0</v>
      </c>
      <c r="I8" s="86">
        <f>(HLOOKUP(CONCATENATE($I$3,-1),alles!$D$1:$AA$314,(MATCH(M8,alles!$C$1:$C$314,0)),0))</f>
        <v>0</v>
      </c>
      <c r="J8" s="87">
        <f>(HLOOKUP(CONCATENATE($I$3,-2),alles!$D$1:$AA$314,(MATCH(M8,alles!$C$1:$C$314,0)),0))</f>
        <v>0</v>
      </c>
      <c r="K8" s="85" t="s">
        <v>21</v>
      </c>
      <c r="M8" s="39" t="s">
        <v>405</v>
      </c>
    </row>
    <row r="9" spans="1:18" x14ac:dyDescent="0.15">
      <c r="A9" s="88"/>
      <c r="B9" s="85" t="s">
        <v>403</v>
      </c>
      <c r="C9" s="86">
        <f>(HLOOKUP(CONCATENATE($C$3,-1),alles!$D$1:$AA$314,(MATCH(M9,alles!$C$1:$C$314,0)),0))</f>
        <v>0</v>
      </c>
      <c r="D9" s="87">
        <f>(HLOOKUP(CONCATENATE($C$3,-2),alles!$D$1:$AA$314,(MATCH(M9,alles!$C$1:$C$314,0)),0))</f>
        <v>0</v>
      </c>
      <c r="E9" s="86">
        <f>(HLOOKUP(CONCATENATE($E$3,-1),alles!$D$1:$AA$314,(MATCH(M9,alles!$C$1:$C$314,0)),0))</f>
        <v>0</v>
      </c>
      <c r="F9" s="87">
        <f>(HLOOKUP(CONCATENATE($E$3,-2),alles!$D$1:$AA$314,(MATCH(M9,alles!$C$1:$C$314,0)),0))</f>
        <v>0</v>
      </c>
      <c r="G9" s="86">
        <f>(HLOOKUP(CONCATENATE($G$3,-1),alles!$D$1:$AA$314,(MATCH(M9,alles!$C$1:$C$314,0)),0))</f>
        <v>0</v>
      </c>
      <c r="H9" s="87">
        <f>(HLOOKUP(CONCATENATE($G$3,-2),alles!$D$1:$AA$314,(MATCH(M9,alles!$C$1:$C$314,0)),0))</f>
        <v>0</v>
      </c>
      <c r="I9" s="86">
        <f>(HLOOKUP(CONCATENATE($I$3,-1),alles!$D$1:$AA$314,(MATCH(M9,alles!$C$1:$C$314,0)),0))</f>
        <v>0</v>
      </c>
      <c r="J9" s="87">
        <f>(HLOOKUP(CONCATENATE($I$3,-2),alles!$D$1:$AA$314,(MATCH(M9,alles!$C$1:$C$314,0)),0))</f>
        <v>0</v>
      </c>
      <c r="K9" s="85" t="s">
        <v>21</v>
      </c>
      <c r="M9" s="39" t="s">
        <v>404</v>
      </c>
    </row>
    <row r="10" spans="1:18" x14ac:dyDescent="0.15">
      <c r="A10" s="89"/>
      <c r="B10" s="90" t="s">
        <v>16</v>
      </c>
      <c r="C10" s="91">
        <f>(HLOOKUP(CONCATENATE($C$3,-1),alles!$D$1:$AA$314,(MATCH(M10,alles!$C$1:$C$314,0)),0))</f>
        <v>0</v>
      </c>
      <c r="D10" s="92">
        <f>(HLOOKUP(CONCATENATE($C$3,-2),alles!$D$1:$AA$314,(MATCH(M10,alles!$C$1:$C$314,0)),0))</f>
        <v>0</v>
      </c>
      <c r="E10" s="91">
        <f>(HLOOKUP(CONCATENATE($E$3,-1),alles!$D$1:$AA$314,(MATCH(M10,alles!$C$1:$C$314,0)),0))</f>
        <v>0</v>
      </c>
      <c r="F10" s="92">
        <f>(HLOOKUP(CONCATENATE($E$3,-2),alles!$D$1:$AA$314,(MATCH(M10,alles!$C$1:$C$314,0)),0))</f>
        <v>0</v>
      </c>
      <c r="G10" s="91">
        <f>(HLOOKUP(CONCATENATE($G$3,-1),alles!$D$1:$AA$314,(MATCH(M10,alles!$C$1:$C$314,0)),0))</f>
        <v>0</v>
      </c>
      <c r="H10" s="92">
        <f>(HLOOKUP(CONCATENATE($G$3,-2),alles!$D$1:$AA$314,(MATCH(M10,alles!$C$1:$C$314,0)),0))</f>
        <v>0</v>
      </c>
      <c r="I10" s="91">
        <f>(HLOOKUP(CONCATENATE($I$3,-1),alles!$D$1:$AA$314,(MATCH(M10,alles!$C$1:$C$314,0)),0))</f>
        <v>0</v>
      </c>
      <c r="J10" s="92">
        <f>(HLOOKUP(CONCATENATE($I$3,-2),alles!$D$1:$AA$314,(MATCH(M10,alles!$C$1:$C$314,0)),0))</f>
        <v>0</v>
      </c>
      <c r="K10" s="90" t="s">
        <v>21</v>
      </c>
      <c r="M10" s="39" t="s">
        <v>407</v>
      </c>
    </row>
    <row r="11" spans="1:18" ht="12" x14ac:dyDescent="0.15">
      <c r="A11" s="121" t="s">
        <v>307</v>
      </c>
      <c r="B11" s="122" t="s">
        <v>31</v>
      </c>
      <c r="C11" s="427">
        <f t="shared" ref="C11:J11" si="1">SUM(C12:C14)</f>
        <v>5266</v>
      </c>
      <c r="D11" s="427">
        <f t="shared" si="1"/>
        <v>6200</v>
      </c>
      <c r="E11" s="427">
        <f t="shared" si="1"/>
        <v>3485.7</v>
      </c>
      <c r="F11" s="427">
        <f t="shared" si="1"/>
        <v>2986.4</v>
      </c>
      <c r="G11" s="427">
        <f t="shared" si="1"/>
        <v>4432.33</v>
      </c>
      <c r="H11" s="427">
        <f t="shared" si="1"/>
        <v>6193.9500000000007</v>
      </c>
      <c r="I11" s="427">
        <f t="shared" si="1"/>
        <v>5640.04</v>
      </c>
      <c r="J11" s="427">
        <f t="shared" si="1"/>
        <v>6499.91</v>
      </c>
      <c r="K11" s="124" t="s">
        <v>21</v>
      </c>
    </row>
    <row r="12" spans="1:18" ht="15" customHeight="1" x14ac:dyDescent="0.15">
      <c r="A12" s="733" t="s">
        <v>10</v>
      </c>
      <c r="B12" s="85" t="s">
        <v>14</v>
      </c>
      <c r="C12" s="86">
        <f>(HLOOKUP(CONCATENATE($C$3,-1),alles!$D$1:$AA$314,(MATCH(M12,alles!$C$1:$C$314,0)),0))</f>
        <v>3240</v>
      </c>
      <c r="D12" s="87">
        <f>(HLOOKUP(CONCATENATE($C$3,-2),alles!$D$1:$AA$314,(MATCH(M12,alles!$C$1:$C$314,0)),0))</f>
        <v>3527</v>
      </c>
      <c r="E12" s="86">
        <f>(HLOOKUP(CONCATENATE($E$3,-1),alles!$D$1:$AA$314,(MATCH(M12,alles!$C$1:$C$314,0)),0))</f>
        <v>3485.7</v>
      </c>
      <c r="F12" s="87">
        <f>(HLOOKUP(CONCATENATE($E$3,-2),alles!$D$1:$AA$314,(MATCH(M12,alles!$C$1:$C$314,0)),0))</f>
        <v>2986.4</v>
      </c>
      <c r="G12" s="86">
        <f>(HLOOKUP(CONCATENATE($G$3,-1),alles!$D$1:$AA$314,(MATCH(M12,alles!$C$1:$C$314,0)),0))</f>
        <v>1699</v>
      </c>
      <c r="H12" s="87">
        <f>(HLOOKUP(CONCATENATE($G$3,-2),alles!$D$1:$AA$314,(MATCH(M12,alles!$C$1:$C$314,0)),0))</f>
        <v>3041.65</v>
      </c>
      <c r="I12" s="86">
        <f>(HLOOKUP(CONCATENATE($I$3,-1),alles!$D$1:$AA$314,(MATCH(M12,alles!$C$1:$C$314,0)),0))</f>
        <v>0</v>
      </c>
      <c r="J12" s="87">
        <f>(HLOOKUP(CONCATENATE($I$3,-2),alles!$D$1:$AA$314,(MATCH(M12,alles!$C$1:$C$314,0)),0))</f>
        <v>0</v>
      </c>
      <c r="K12" s="85" t="s">
        <v>21</v>
      </c>
      <c r="M12" s="39" t="s">
        <v>266</v>
      </c>
    </row>
    <row r="13" spans="1:18" x14ac:dyDescent="0.15">
      <c r="A13" s="733"/>
      <c r="B13" s="85" t="s">
        <v>15</v>
      </c>
      <c r="C13" s="86">
        <f>(HLOOKUP(CONCATENATE($C$3,-1),alles!$D$1:$AA$314,(MATCH(M13,alles!$C$1:$C$314,0)),0))</f>
        <v>2026</v>
      </c>
      <c r="D13" s="87">
        <f>(HLOOKUP(CONCATENATE($C$3,-2),alles!$D$1:$AA$314,(MATCH(M13,alles!$C$1:$C$314,0)),0))</f>
        <v>2673</v>
      </c>
      <c r="E13" s="86">
        <f>(HLOOKUP(CONCATENATE($E$3,-1),alles!$D$1:$AA$314,(MATCH(M13,alles!$C$1:$C$314,0)),0))</f>
        <v>0</v>
      </c>
      <c r="F13" s="87">
        <f>(HLOOKUP(CONCATENATE($E$3,-2),alles!$D$1:$AA$314,(MATCH(M13,alles!$C$1:$C$314,0)),0))</f>
        <v>0</v>
      </c>
      <c r="G13" s="86">
        <f>(HLOOKUP(CONCATENATE($G$3,-1),alles!$D$1:$AA$314,(MATCH(M13,alles!$C$1:$C$314,0)),0))</f>
        <v>2733.33</v>
      </c>
      <c r="H13" s="87">
        <f>(HLOOKUP(CONCATENATE($G$3,-2),alles!$D$1:$AA$314,(MATCH(M13,alles!$C$1:$C$314,0)),0))</f>
        <v>3152.3</v>
      </c>
      <c r="I13" s="86">
        <f>(HLOOKUP(CONCATENATE($I$3,-1),alles!$D$1:$AA$314,(MATCH(M13,alles!$C$1:$C$314,0)),0))</f>
        <v>5640.04</v>
      </c>
      <c r="J13" s="87">
        <f>(HLOOKUP(CONCATENATE($I$3,-2),alles!$D$1:$AA$314,(MATCH(M13,alles!$C$1:$C$314,0)),0))</f>
        <v>6499.91</v>
      </c>
      <c r="K13" s="85" t="s">
        <v>21</v>
      </c>
      <c r="M13" s="39" t="s">
        <v>267</v>
      </c>
    </row>
    <row r="14" spans="1:18" x14ac:dyDescent="0.15">
      <c r="A14" s="733"/>
      <c r="B14" s="85" t="s">
        <v>16</v>
      </c>
      <c r="C14" s="86">
        <f>(HLOOKUP(CONCATENATE($C$3,-1),alles!$D$1:$AA$314,(MATCH(M14,alles!$C$1:$C$314,0)),0))</f>
        <v>0</v>
      </c>
      <c r="D14" s="87">
        <f>(HLOOKUP(CONCATENATE($C$3,-2),alles!$D$1:$AA$314,(MATCH(M14,alles!$C$1:$C$314,0)),0))</f>
        <v>0</v>
      </c>
      <c r="E14" s="86">
        <f>(HLOOKUP(CONCATENATE($E$3,-1),alles!$D$1:$AA$314,(MATCH(M14,alles!$C$1:$C$314,0)),0))</f>
        <v>0</v>
      </c>
      <c r="F14" s="87">
        <f>(HLOOKUP(CONCATENATE($E$3,-2),alles!$D$1:$AA$314,(MATCH(M14,alles!$C$1:$C$314,0)),0))</f>
        <v>0</v>
      </c>
      <c r="G14" s="86">
        <f>(HLOOKUP(CONCATENATE($G$3,-1),alles!$D$1:$AA$314,(MATCH(M14,alles!$C$1:$C$314,0)),0))</f>
        <v>0</v>
      </c>
      <c r="H14" s="87">
        <f>(HLOOKUP(CONCATENATE($G$3,-2),alles!$D$1:$AA$314,(MATCH(M14,alles!$C$1:$C$314,0)),0))</f>
        <v>0</v>
      </c>
      <c r="I14" s="86">
        <f>(HLOOKUP(CONCATENATE($I$3,-1),alles!$D$1:$AA$314,(MATCH(M14,alles!$C$1:$C$314,0)),0))</f>
        <v>0</v>
      </c>
      <c r="J14" s="87">
        <f>(HLOOKUP(CONCATENATE($I$3,-2),alles!$D$1:$AA$314,(MATCH(M14,alles!$C$1:$C$314,0)),0))</f>
        <v>0</v>
      </c>
      <c r="K14" s="85" t="s">
        <v>21</v>
      </c>
      <c r="M14" s="39" t="s">
        <v>268</v>
      </c>
    </row>
    <row r="15" spans="1:18" x14ac:dyDescent="0.15">
      <c r="A15" s="71" t="s">
        <v>121</v>
      </c>
      <c r="B15" s="93"/>
      <c r="C15" s="94">
        <f>(HLOOKUP(CONCATENATE($C$3,-1),alles!$D$1:$AA$314,(MATCH(M15,alles!$C$1:$C$314,0)),0))</f>
        <v>9120</v>
      </c>
      <c r="D15" s="95">
        <f>(HLOOKUP(CONCATENATE($C$3,-2),alles!$D$1:$AA$314,(MATCH(M15,alles!$C$1:$C$314,0)),0))</f>
        <v>9474.2999999999993</v>
      </c>
      <c r="E15" s="94">
        <f>(HLOOKUP(CONCATENATE($E$3,-1),alles!$D$1:$AA$314,(MATCH(M15,alles!$C$1:$C$314,0)),0))</f>
        <v>11996.7</v>
      </c>
      <c r="F15" s="95">
        <f>(HLOOKUP(CONCATENATE($E$3,-2),alles!$D$1:$AA$314,(MATCH(M15,alles!$C$1:$C$314,0)),0))</f>
        <v>12750</v>
      </c>
      <c r="G15" s="94">
        <f>(HLOOKUP(CONCATENATE($G$3,-1),alles!$D$1:$AA$314,(MATCH(M15,alles!$C$1:$C$314,0)),0))</f>
        <v>12988</v>
      </c>
      <c r="H15" s="95">
        <f>(HLOOKUP(CONCATENATE($G$3,-2),alles!$D$1:$AA$314,(MATCH(M15,alles!$C$1:$C$314,0)),0))</f>
        <v>12138.5</v>
      </c>
      <c r="I15" s="94">
        <f>(HLOOKUP(CONCATENATE($I$3,-1),alles!$D$1:$AA$314,(MATCH(M15,alles!$C$1:$C$314,0)),0))</f>
        <v>14287</v>
      </c>
      <c r="J15" s="95">
        <f>(HLOOKUP(CONCATENATE($I$3,-2),alles!$D$1:$AA$314,(MATCH(M15,alles!$C$1:$C$314,0)),0))</f>
        <v>13480.4</v>
      </c>
      <c r="K15" s="93" t="s">
        <v>21</v>
      </c>
      <c r="M15" s="39" t="s">
        <v>269</v>
      </c>
    </row>
    <row r="16" spans="1:18" x14ac:dyDescent="0.15">
      <c r="A16" s="74" t="s">
        <v>11</v>
      </c>
      <c r="B16" s="85"/>
      <c r="C16" s="86">
        <f>(HLOOKUP(CONCATENATE($C$3,-1),alles!$D$1:$AA$314,(MATCH(M16,alles!$C$1:$C$314,0)),0))</f>
        <v>0</v>
      </c>
      <c r="D16" s="87">
        <f>(HLOOKUP(CONCATENATE($C$3,-2),alles!$D$1:$AA$314,(MATCH(M16,alles!$C$1:$C$314,0)),0))</f>
        <v>0</v>
      </c>
      <c r="E16" s="86">
        <f>(HLOOKUP(CONCATENATE($E$3,-1),alles!$D$1:$AA$314,(MATCH(M16,alles!$C$1:$C$314,0)),0))</f>
        <v>0</v>
      </c>
      <c r="F16" s="87">
        <f>(HLOOKUP(CONCATENATE($E$3,-2),alles!$D$1:$AA$314,(MATCH(M16,alles!$C$1:$C$314,0)),0))</f>
        <v>0</v>
      </c>
      <c r="G16" s="86">
        <f>(HLOOKUP(CONCATENATE($G$3,-1),alles!$D$1:$AA$314,(MATCH(M16,alles!$C$1:$C$314,0)),0))</f>
        <v>0</v>
      </c>
      <c r="H16" s="87">
        <f>(HLOOKUP(CONCATENATE($G$3,-2),alles!$D$1:$AA$314,(MATCH(M16,alles!$C$1:$C$314,0)),0))</f>
        <v>0</v>
      </c>
      <c r="I16" s="86">
        <f>(HLOOKUP(CONCATENATE($I$3,-1),alles!$D$1:$AA$314,(MATCH(M16,alles!$C$1:$C$314,0)),0))</f>
        <v>0</v>
      </c>
      <c r="J16" s="87">
        <f>(HLOOKUP(CONCATENATE($I$3,-2),alles!$D$1:$AA$314,(MATCH(M16,alles!$C$1:$C$314,0)),0))</f>
        <v>0</v>
      </c>
      <c r="K16" s="85" t="s">
        <v>21</v>
      </c>
      <c r="M16" s="39" t="s">
        <v>270</v>
      </c>
    </row>
    <row r="17" spans="1:13" ht="12" x14ac:dyDescent="0.15">
      <c r="A17" s="96" t="s">
        <v>2</v>
      </c>
      <c r="B17" s="97" t="s">
        <v>31</v>
      </c>
      <c r="C17" s="98">
        <f t="shared" ref="C17:J17" si="2">SUM(C18:C28)</f>
        <v>0</v>
      </c>
      <c r="D17" s="98">
        <f t="shared" si="2"/>
        <v>0</v>
      </c>
      <c r="E17" s="98">
        <f t="shared" si="2"/>
        <v>0</v>
      </c>
      <c r="F17" s="98">
        <f t="shared" si="2"/>
        <v>0</v>
      </c>
      <c r="G17" s="98">
        <f t="shared" si="2"/>
        <v>0</v>
      </c>
      <c r="H17" s="98">
        <f t="shared" si="2"/>
        <v>0</v>
      </c>
      <c r="I17" s="98">
        <f t="shared" si="2"/>
        <v>0</v>
      </c>
      <c r="J17" s="98">
        <f t="shared" si="2"/>
        <v>0</v>
      </c>
      <c r="K17" s="99" t="s">
        <v>21</v>
      </c>
    </row>
    <row r="18" spans="1:13" hidden="1" x14ac:dyDescent="0.15">
      <c r="A18" s="739" t="s">
        <v>195</v>
      </c>
      <c r="B18" s="740"/>
      <c r="C18" s="86">
        <f>(HLOOKUP(CONCATENATE($C$3,-1),alles!$D$1:$AA$314,(MATCH(M18,alles!$C$1:$C$314,0)),0))</f>
        <v>0</v>
      </c>
      <c r="D18" s="87">
        <f>(HLOOKUP(CONCATENATE($C$3,-2),alles!$D$1:$AA$314,(MATCH(M18,alles!$C$1:$C$314,0)),0))</f>
        <v>0</v>
      </c>
      <c r="E18" s="86">
        <f>(HLOOKUP(CONCATENATE($E$3,-1),alles!$D$1:$AA$314,(MATCH(M18,alles!$C$1:$C$314,0)),0))</f>
        <v>0</v>
      </c>
      <c r="F18" s="87">
        <f>(HLOOKUP(CONCATENATE($E$3,-2),alles!$D$1:$AA$314,(MATCH(M18,alles!$C$1:$C$314,0)),0))</f>
        <v>0</v>
      </c>
      <c r="G18" s="86">
        <f>(HLOOKUP(CONCATENATE($G$3,-1),alles!$D$1:$AA$314,(MATCH(M18,alles!$C$1:$C$314,0)),0))</f>
        <v>0</v>
      </c>
      <c r="H18" s="87">
        <f>(HLOOKUP(CONCATENATE($G$3,-2),alles!$D$1:$AA$314,(MATCH(M18,alles!$C$1:$C$314,0)),0))</f>
        <v>0</v>
      </c>
      <c r="I18" s="86">
        <f>(HLOOKUP(CONCATENATE($I$3,-1),alles!$D$1:$AA$314,(MATCH(M18,alles!$C$1:$C$314,0)),0))</f>
        <v>0</v>
      </c>
      <c r="J18" s="87">
        <f>(HLOOKUP(CONCATENATE($I$3,-2),alles!$D$1:$AA$314,(MATCH(M18,alles!$C$1:$C$314,0)),0))</f>
        <v>0</v>
      </c>
      <c r="K18" s="85" t="s">
        <v>21</v>
      </c>
      <c r="M18" s="39" t="s">
        <v>311</v>
      </c>
    </row>
    <row r="19" spans="1:13" hidden="1" x14ac:dyDescent="0.15">
      <c r="A19" s="739" t="s">
        <v>196</v>
      </c>
      <c r="B19" s="740"/>
      <c r="C19" s="86">
        <f>(HLOOKUP(CONCATENATE($C$3,-1),alles!$D$1:$AA$314,(MATCH(M19,alles!$C$1:$C$314,0)),0))</f>
        <v>0</v>
      </c>
      <c r="D19" s="87">
        <f>(HLOOKUP(CONCATENATE($C$3,-2),alles!$D$1:$AA$314,(MATCH(M19,alles!$C$1:$C$314,0)),0))</f>
        <v>0</v>
      </c>
      <c r="E19" s="86">
        <f>(HLOOKUP(CONCATENATE($E$3,-1),alles!$D$1:$AA$314,(MATCH(M19,alles!$C$1:$C$314,0)),0))</f>
        <v>0</v>
      </c>
      <c r="F19" s="87">
        <f>(HLOOKUP(CONCATENATE($E$3,-2),alles!$D$1:$AA$314,(MATCH(M19,alles!$C$1:$C$314,0)),0))</f>
        <v>0</v>
      </c>
      <c r="G19" s="86">
        <f>(HLOOKUP(CONCATENATE($G$3,-1),alles!$D$1:$AA$314,(MATCH(M19,alles!$C$1:$C$314,0)),0))</f>
        <v>0</v>
      </c>
      <c r="H19" s="87">
        <f>(HLOOKUP(CONCATENATE($G$3,-2),alles!$D$1:$AA$314,(MATCH(M19,alles!$C$1:$C$314,0)),0))</f>
        <v>0</v>
      </c>
      <c r="I19" s="86">
        <f>(HLOOKUP(CONCATENATE($I$3,-1),alles!$D$1:$AA$314,(MATCH(M19,alles!$C$1:$C$314,0)),0))</f>
        <v>0</v>
      </c>
      <c r="J19" s="87">
        <f>(HLOOKUP(CONCATENATE($I$3,-2),alles!$D$1:$AA$314,(MATCH(M19,alles!$C$1:$C$314,0)),0))</f>
        <v>0</v>
      </c>
      <c r="K19" s="85" t="s">
        <v>21</v>
      </c>
      <c r="M19" s="39" t="s">
        <v>312</v>
      </c>
    </row>
    <row r="20" spans="1:13" hidden="1" x14ac:dyDescent="0.15">
      <c r="A20" s="739" t="s">
        <v>197</v>
      </c>
      <c r="B20" s="740"/>
      <c r="C20" s="86">
        <f>(HLOOKUP(CONCATENATE($C$3,-1),alles!$D$1:$AA$314,(MATCH(M20,alles!$C$1:$C$314,0)),0))</f>
        <v>0</v>
      </c>
      <c r="D20" s="87">
        <f>(HLOOKUP(CONCATENATE($C$3,-2),alles!$D$1:$AA$314,(MATCH(M20,alles!$C$1:$C$314,0)),0))</f>
        <v>0</v>
      </c>
      <c r="E20" s="86">
        <f>(HLOOKUP(CONCATENATE($E$3,-1),alles!$D$1:$AA$314,(MATCH(M20,alles!$C$1:$C$314,0)),0))</f>
        <v>0</v>
      </c>
      <c r="F20" s="87">
        <f>(HLOOKUP(CONCATENATE($E$3,-2),alles!$D$1:$AA$314,(MATCH(M20,alles!$C$1:$C$314,0)),0))</f>
        <v>0</v>
      </c>
      <c r="G20" s="86">
        <f>(HLOOKUP(CONCATENATE($G$3,-1),alles!$D$1:$AA$314,(MATCH(M20,alles!$C$1:$C$314,0)),0))</f>
        <v>0</v>
      </c>
      <c r="H20" s="87">
        <f>(HLOOKUP(CONCATENATE($G$3,-2),alles!$D$1:$AA$314,(MATCH(M20,alles!$C$1:$C$314,0)),0))</f>
        <v>0</v>
      </c>
      <c r="I20" s="86">
        <f>(HLOOKUP(CONCATENATE($I$3,-1),alles!$D$1:$AA$314,(MATCH(M20,alles!$C$1:$C$314,0)),0))</f>
        <v>0</v>
      </c>
      <c r="J20" s="87">
        <f>(HLOOKUP(CONCATENATE($I$3,-2),alles!$D$1:$AA$314,(MATCH(M20,alles!$C$1:$C$314,0)),0))</f>
        <v>0</v>
      </c>
      <c r="K20" s="85" t="s">
        <v>21</v>
      </c>
      <c r="M20" s="39" t="s">
        <v>313</v>
      </c>
    </row>
    <row r="21" spans="1:13" hidden="1" x14ac:dyDescent="0.15">
      <c r="A21" s="739" t="s">
        <v>198</v>
      </c>
      <c r="B21" s="740"/>
      <c r="C21" s="86">
        <f>(HLOOKUP(CONCATENATE($C$3,-1),alles!$D$1:$AA$314,(MATCH(M21,alles!$C$1:$C$314,0)),0))</f>
        <v>0</v>
      </c>
      <c r="D21" s="87">
        <f>(HLOOKUP(CONCATENATE($C$3,-2),alles!$D$1:$AA$314,(MATCH(M21,alles!$C$1:$C$314,0)),0))</f>
        <v>0</v>
      </c>
      <c r="E21" s="86">
        <f>(HLOOKUP(CONCATENATE($E$3,-1),alles!$D$1:$AA$314,(MATCH(M21,alles!$C$1:$C$314,0)),0))</f>
        <v>0</v>
      </c>
      <c r="F21" s="87">
        <f>(HLOOKUP(CONCATENATE($E$3,-2),alles!$D$1:$AA$314,(MATCH(M21,alles!$C$1:$C$314,0)),0))</f>
        <v>0</v>
      </c>
      <c r="G21" s="86">
        <f>(HLOOKUP(CONCATENATE($G$3,-1),alles!$D$1:$AA$314,(MATCH(M21,alles!$C$1:$C$314,0)),0))</f>
        <v>0</v>
      </c>
      <c r="H21" s="87">
        <f>(HLOOKUP(CONCATENATE($G$3,-2),alles!$D$1:$AA$314,(MATCH(M21,alles!$C$1:$C$314,0)),0))</f>
        <v>0</v>
      </c>
      <c r="I21" s="86">
        <f>(HLOOKUP(CONCATENATE($I$3,-1),alles!$D$1:$AA$314,(MATCH(M21,alles!$C$1:$C$314,0)),0))</f>
        <v>0</v>
      </c>
      <c r="J21" s="87">
        <f>(HLOOKUP(CONCATENATE($I$3,-2),alles!$D$1:$AA$314,(MATCH(M21,alles!$C$1:$C$314,0)),0))</f>
        <v>0</v>
      </c>
      <c r="K21" s="85" t="s">
        <v>21</v>
      </c>
      <c r="M21" s="39" t="s">
        <v>316</v>
      </c>
    </row>
    <row r="22" spans="1:13" hidden="1" x14ac:dyDescent="0.15">
      <c r="A22" s="739" t="s">
        <v>199</v>
      </c>
      <c r="B22" s="740"/>
      <c r="C22" s="86">
        <f>(HLOOKUP(CONCATENATE($C$3,-1),alles!$D$1:$AA$314,(MATCH(M22,alles!$C$1:$C$314,0)),0))</f>
        <v>0</v>
      </c>
      <c r="D22" s="87">
        <f>(HLOOKUP(CONCATENATE($C$3,-2),alles!$D$1:$AA$314,(MATCH(M22,alles!$C$1:$C$314,0)),0))</f>
        <v>0</v>
      </c>
      <c r="E22" s="86">
        <f>(HLOOKUP(CONCATENATE($E$3,-1),alles!$D$1:$AA$314,(MATCH(M22,alles!$C$1:$C$314,0)),0))</f>
        <v>0</v>
      </c>
      <c r="F22" s="87">
        <f>(HLOOKUP(CONCATENATE($E$3,-2),alles!$D$1:$AA$314,(MATCH(M22,alles!$C$1:$C$314,0)),0))</f>
        <v>0</v>
      </c>
      <c r="G22" s="86">
        <f>(HLOOKUP(CONCATENATE($G$3,-1),alles!$D$1:$AA$314,(MATCH(M22,alles!$C$1:$C$314,0)),0))</f>
        <v>0</v>
      </c>
      <c r="H22" s="87">
        <f>(HLOOKUP(CONCATENATE($G$3,-2),alles!$D$1:$AA$314,(MATCH(M22,alles!$C$1:$C$314,0)),0))</f>
        <v>0</v>
      </c>
      <c r="I22" s="86">
        <f>(HLOOKUP(CONCATENATE($I$3,-1),alles!$D$1:$AA$314,(MATCH(M22,alles!$C$1:$C$314,0)),0))</f>
        <v>0</v>
      </c>
      <c r="J22" s="87">
        <f>(HLOOKUP(CONCATENATE($I$3,-2),alles!$D$1:$AA$314,(MATCH(M22,alles!$C$1:$C$314,0)),0))</f>
        <v>0</v>
      </c>
      <c r="K22" s="85" t="s">
        <v>21</v>
      </c>
      <c r="M22" s="39" t="s">
        <v>314</v>
      </c>
    </row>
    <row r="23" spans="1:13" hidden="1" x14ac:dyDescent="0.15">
      <c r="A23" s="739" t="s">
        <v>200</v>
      </c>
      <c r="B23" s="740"/>
      <c r="C23" s="86">
        <f>(HLOOKUP(CONCATENATE($C$3,-1),alles!$D$1:$AA$314,(MATCH(M23,alles!$C$1:$C$314,0)),0))</f>
        <v>0</v>
      </c>
      <c r="D23" s="87">
        <f>(HLOOKUP(CONCATENATE($C$3,-2),alles!$D$1:$AA$314,(MATCH(M23,alles!$C$1:$C$314,0)),0))</f>
        <v>0</v>
      </c>
      <c r="E23" s="86">
        <f>(HLOOKUP(CONCATENATE($E$3,-1),alles!$D$1:$AA$314,(MATCH(M23,alles!$C$1:$C$314,0)),0))</f>
        <v>0</v>
      </c>
      <c r="F23" s="87">
        <f>(HLOOKUP(CONCATENATE($E$3,-2),alles!$D$1:$AA$314,(MATCH(M23,alles!$C$1:$C$314,0)),0))</f>
        <v>0</v>
      </c>
      <c r="G23" s="86">
        <f>(HLOOKUP(CONCATENATE($G$3,-1),alles!$D$1:$AA$314,(MATCH(M23,alles!$C$1:$C$314,0)),0))</f>
        <v>0</v>
      </c>
      <c r="H23" s="87">
        <f>(HLOOKUP(CONCATENATE($G$3,-2),alles!$D$1:$AA$314,(MATCH(M23,alles!$C$1:$C$314,0)),0))</f>
        <v>0</v>
      </c>
      <c r="I23" s="86">
        <f>(HLOOKUP(CONCATENATE($I$3,-1),alles!$D$1:$AA$314,(MATCH(M23,alles!$C$1:$C$314,0)),0))</f>
        <v>0</v>
      </c>
      <c r="J23" s="87">
        <f>(HLOOKUP(CONCATENATE($I$3,-2),alles!$D$1:$AA$314,(MATCH(M23,alles!$C$1:$C$314,0)),0))</f>
        <v>0</v>
      </c>
      <c r="K23" s="85" t="s">
        <v>21</v>
      </c>
      <c r="M23" s="39" t="s">
        <v>315</v>
      </c>
    </row>
    <row r="24" spans="1:13" hidden="1" x14ac:dyDescent="0.15">
      <c r="A24" s="739" t="s">
        <v>201</v>
      </c>
      <c r="B24" s="740"/>
      <c r="C24" s="86">
        <f>(HLOOKUP(CONCATENATE($C$3,-1),alles!$D$1:$AA$314,(MATCH(M24,alles!$C$1:$C$314,0)),0))</f>
        <v>0</v>
      </c>
      <c r="D24" s="87">
        <f>(HLOOKUP(CONCATENATE($C$3,-2),alles!$D$1:$AA$314,(MATCH(M24,alles!$C$1:$C$314,0)),0))</f>
        <v>0</v>
      </c>
      <c r="E24" s="86">
        <f>(HLOOKUP(CONCATENATE($E$3,-1),alles!$D$1:$AA$314,(MATCH(M24,alles!$C$1:$C$314,0)),0))</f>
        <v>0</v>
      </c>
      <c r="F24" s="87">
        <f>(HLOOKUP(CONCATENATE($E$3,-2),alles!$D$1:$AA$314,(MATCH(M24,alles!$C$1:$C$314,0)),0))</f>
        <v>0</v>
      </c>
      <c r="G24" s="86">
        <f>(HLOOKUP(CONCATENATE($G$3,-1),alles!$D$1:$AA$314,(MATCH(M24,alles!$C$1:$C$314,0)),0))</f>
        <v>0</v>
      </c>
      <c r="H24" s="87">
        <f>(HLOOKUP(CONCATENATE($G$3,-2),alles!$D$1:$AA$314,(MATCH(M24,alles!$C$1:$C$314,0)),0))</f>
        <v>0</v>
      </c>
      <c r="I24" s="86">
        <f>(HLOOKUP(CONCATENATE($I$3,-1),alles!$D$1:$AA$314,(MATCH(M24,alles!$C$1:$C$314,0)),0))</f>
        <v>0</v>
      </c>
      <c r="J24" s="87">
        <f>(HLOOKUP(CONCATENATE($I$3,-2),alles!$D$1:$AA$314,(MATCH(M24,alles!$C$1:$C$314,0)),0))</f>
        <v>0</v>
      </c>
      <c r="K24" s="85" t="s">
        <v>21</v>
      </c>
      <c r="M24" s="39" t="s">
        <v>318</v>
      </c>
    </row>
    <row r="25" spans="1:13" hidden="1" x14ac:dyDescent="0.15">
      <c r="A25" s="739" t="s">
        <v>202</v>
      </c>
      <c r="B25" s="740"/>
      <c r="C25" s="86">
        <f>(HLOOKUP(CONCATENATE($C$3,-1),alles!$D$1:$AA$314,(MATCH(M25,alles!$C$1:$C$314,0)),0))</f>
        <v>0</v>
      </c>
      <c r="D25" s="87">
        <f>(HLOOKUP(CONCATENATE($C$3,-2),alles!$D$1:$AA$314,(MATCH(M25,alles!$C$1:$C$314,0)),0))</f>
        <v>0</v>
      </c>
      <c r="E25" s="86">
        <f>(HLOOKUP(CONCATENATE($E$3,-1),alles!$D$1:$AA$314,(MATCH(M25,alles!$C$1:$C$314,0)),0))</f>
        <v>0</v>
      </c>
      <c r="F25" s="87">
        <f>(HLOOKUP(CONCATENATE($E$3,-2),alles!$D$1:$AA$314,(MATCH(M25,alles!$C$1:$C$314,0)),0))</f>
        <v>0</v>
      </c>
      <c r="G25" s="86">
        <f>(HLOOKUP(CONCATENATE($G$3,-1),alles!$D$1:$AA$314,(MATCH(M25,alles!$C$1:$C$314,0)),0))</f>
        <v>0</v>
      </c>
      <c r="H25" s="87">
        <f>(HLOOKUP(CONCATENATE($G$3,-2),alles!$D$1:$AA$314,(MATCH(M25,alles!$C$1:$C$314,0)),0))</f>
        <v>0</v>
      </c>
      <c r="I25" s="86">
        <f>(HLOOKUP(CONCATENATE($I$3,-1),alles!$D$1:$AA$314,(MATCH(M25,alles!$C$1:$C$314,0)),0))</f>
        <v>0</v>
      </c>
      <c r="J25" s="87">
        <f>(HLOOKUP(CONCATENATE($I$3,-2),alles!$D$1:$AA$314,(MATCH(M25,alles!$C$1:$C$314,0)),0))</f>
        <v>0</v>
      </c>
      <c r="K25" s="85" t="s">
        <v>21</v>
      </c>
      <c r="M25" s="39" t="s">
        <v>317</v>
      </c>
    </row>
    <row r="26" spans="1:13" hidden="1" x14ac:dyDescent="0.15">
      <c r="A26" s="739" t="s">
        <v>203</v>
      </c>
      <c r="B26" s="740"/>
      <c r="C26" s="86">
        <f>(HLOOKUP(CONCATENATE($C$3,-1),alles!$D$1:$AA$314,(MATCH(M26,alles!$C$1:$C$314,0)),0))</f>
        <v>0</v>
      </c>
      <c r="D26" s="87">
        <f>(HLOOKUP(CONCATENATE($C$3,-2),alles!$D$1:$AA$314,(MATCH(M26,alles!$C$1:$C$314,0)),0))</f>
        <v>0</v>
      </c>
      <c r="E26" s="86">
        <f>(HLOOKUP(CONCATENATE($E$3,-1),alles!$D$1:$AA$314,(MATCH(M26,alles!$C$1:$C$314,0)),0))</f>
        <v>0</v>
      </c>
      <c r="F26" s="87">
        <f>(HLOOKUP(CONCATENATE($E$3,-2),alles!$D$1:$AA$314,(MATCH(M26,alles!$C$1:$C$314,0)),0))</f>
        <v>0</v>
      </c>
      <c r="G26" s="86">
        <f>(HLOOKUP(CONCATENATE($G$3,-1),alles!$D$1:$AA$314,(MATCH(M26,alles!$C$1:$C$314,0)),0))</f>
        <v>0</v>
      </c>
      <c r="H26" s="87">
        <f>(HLOOKUP(CONCATENATE($G$3,-2),alles!$D$1:$AA$314,(MATCH(M26,alles!$C$1:$C$314,0)),0))</f>
        <v>0</v>
      </c>
      <c r="I26" s="86">
        <f>(HLOOKUP(CONCATENATE($I$3,-1),alles!$D$1:$AA$314,(MATCH(M26,alles!$C$1:$C$314,0)),0))</f>
        <v>0</v>
      </c>
      <c r="J26" s="87">
        <f>(HLOOKUP(CONCATENATE($I$3,-2),alles!$D$1:$AA$314,(MATCH(M26,alles!$C$1:$C$314,0)),0))</f>
        <v>0</v>
      </c>
      <c r="K26" s="85" t="s">
        <v>21</v>
      </c>
      <c r="M26" s="39" t="s">
        <v>319</v>
      </c>
    </row>
    <row r="27" spans="1:13" hidden="1" x14ac:dyDescent="0.15">
      <c r="A27" s="739" t="s">
        <v>204</v>
      </c>
      <c r="B27" s="740"/>
      <c r="C27" s="86">
        <f>(HLOOKUP(CONCATENATE($C$3,-1),alles!$D$1:$AA$314,(MATCH(M27,alles!$C$1:$C$314,0)),0))</f>
        <v>0</v>
      </c>
      <c r="D27" s="87">
        <f>(HLOOKUP(CONCATENATE($C$3,-2),alles!$D$1:$AA$314,(MATCH(M27,alles!$C$1:$C$314,0)),0))</f>
        <v>0</v>
      </c>
      <c r="E27" s="86">
        <f>(HLOOKUP(CONCATENATE($E$3,-1),alles!$D$1:$AA$314,(MATCH(M27,alles!$C$1:$C$314,0)),0))</f>
        <v>0</v>
      </c>
      <c r="F27" s="87">
        <f>(HLOOKUP(CONCATENATE($E$3,-2),alles!$D$1:$AA$314,(MATCH(M27,alles!$C$1:$C$314,0)),0))</f>
        <v>0</v>
      </c>
      <c r="G27" s="86">
        <f>(HLOOKUP(CONCATENATE($G$3,-1),alles!$D$1:$AA$314,(MATCH(M27,alles!$C$1:$C$314,0)),0))</f>
        <v>0</v>
      </c>
      <c r="H27" s="87">
        <f>(HLOOKUP(CONCATENATE($G$3,-2),alles!$D$1:$AA$314,(MATCH(M27,alles!$C$1:$C$314,0)),0))</f>
        <v>0</v>
      </c>
      <c r="I27" s="86">
        <f>(HLOOKUP(CONCATENATE($I$3,-1),alles!$D$1:$AA$314,(MATCH(M27,alles!$C$1:$C$314,0)),0))</f>
        <v>0</v>
      </c>
      <c r="J27" s="87">
        <f>(HLOOKUP(CONCATENATE($I$3,-2),alles!$D$1:$AA$314,(MATCH(M27,alles!$C$1:$C$314,0)),0))</f>
        <v>0</v>
      </c>
      <c r="K27" s="85" t="s">
        <v>21</v>
      </c>
      <c r="M27" s="39" t="s">
        <v>320</v>
      </c>
    </row>
    <row r="28" spans="1:13" ht="23" hidden="1" customHeight="1" x14ac:dyDescent="0.15">
      <c r="A28" s="733" t="s">
        <v>205</v>
      </c>
      <c r="B28" s="734"/>
      <c r="C28" s="86">
        <f>(HLOOKUP(CONCATENATE($C$3,-1),alles!$D$1:$AA$314,(MATCH(M28,alles!$C$1:$C$314,0)),0))</f>
        <v>0</v>
      </c>
      <c r="D28" s="87">
        <f>(HLOOKUP(CONCATENATE($C$3,-2),alles!$D$1:$AA$314,(MATCH(M28,alles!$C$1:$C$314,0)),0))</f>
        <v>0</v>
      </c>
      <c r="E28" s="86">
        <f>(HLOOKUP(CONCATENATE($E$3,-1),alles!$D$1:$AA$314,(MATCH(M28,alles!$C$1:$C$314,0)),0))</f>
        <v>0</v>
      </c>
      <c r="F28" s="87">
        <f>(HLOOKUP(CONCATENATE($E$3,-2),alles!$D$1:$AA$314,(MATCH(M28,alles!$C$1:$C$314,0)),0))</f>
        <v>0</v>
      </c>
      <c r="G28" s="86">
        <f>(HLOOKUP(CONCATENATE($G$3,-1),alles!$D$1:$AA$314,(MATCH(M28,alles!$C$1:$C$314,0)),0))</f>
        <v>0</v>
      </c>
      <c r="H28" s="87">
        <f>(HLOOKUP(CONCATENATE($G$3,-2),alles!$D$1:$AA$314,(MATCH(M28,alles!$C$1:$C$314,0)),0))</f>
        <v>0</v>
      </c>
      <c r="I28" s="86">
        <f>(HLOOKUP(CONCATENATE($I$3,-1),alles!$D$1:$AA$314,(MATCH(M28,alles!$C$1:$C$314,0)),0))</f>
        <v>0</v>
      </c>
      <c r="J28" s="87">
        <f>(HLOOKUP(CONCATENATE($I$3,-2),alles!$D$1:$AA$314,(MATCH(M28,alles!$C$1:$C$314,0)),0))</f>
        <v>0</v>
      </c>
      <c r="K28" s="100" t="s">
        <v>21</v>
      </c>
      <c r="M28" s="39" t="s">
        <v>321</v>
      </c>
    </row>
    <row r="29" spans="1:13" x14ac:dyDescent="0.15">
      <c r="A29" s="71" t="s">
        <v>123</v>
      </c>
      <c r="B29" s="93"/>
      <c r="C29" s="94">
        <f>(HLOOKUP(CONCATENATE($C$3,-1),alles!$D$1:$AA$314,(MATCH(M29,alles!$C$1:$C$314,0)),0))</f>
        <v>0</v>
      </c>
      <c r="D29" s="95">
        <f>(HLOOKUP(CONCATENATE($C$3,-2),alles!$D$1:$AA$314,(MATCH(M29,alles!$C$1:$C$314,0)),0))</f>
        <v>0</v>
      </c>
      <c r="E29" s="94">
        <f>(HLOOKUP(CONCATENATE($E$3,-1),alles!$D$1:$AA$314,(MATCH(M29,alles!$C$1:$C$314,0)),0))</f>
        <v>0</v>
      </c>
      <c r="F29" s="95">
        <f>(HLOOKUP(CONCATENATE($E$3,-2),alles!$D$1:$AA$314,(MATCH(M29,alles!$C$1:$C$314,0)),0))</f>
        <v>0</v>
      </c>
      <c r="G29" s="94">
        <f>(HLOOKUP(CONCATENATE($G$3,-1),alles!$D$1:$AA$314,(MATCH(M29,alles!$C$1:$C$314,0)),0))</f>
        <v>0</v>
      </c>
      <c r="H29" s="95">
        <f>(HLOOKUP(CONCATENATE($G$3,-2),alles!$D$1:$AA$314,(MATCH(M29,alles!$C$1:$C$314,0)),0))</f>
        <v>0</v>
      </c>
      <c r="I29" s="94">
        <f>(HLOOKUP(CONCATENATE($I$3,-1),alles!$D$1:$AA$314,(MATCH(M29,alles!$C$1:$C$314,0)),0))</f>
        <v>0</v>
      </c>
      <c r="J29" s="95">
        <f>(HLOOKUP(CONCATENATE($I$3,-2),alles!$D$1:$AA$314,(MATCH(M29,alles!$C$1:$C$314,0)),0))</f>
        <v>0</v>
      </c>
      <c r="K29" s="93" t="s">
        <v>21</v>
      </c>
      <c r="M29" s="39" t="s">
        <v>301</v>
      </c>
    </row>
    <row r="30" spans="1:13" x14ac:dyDescent="0.15">
      <c r="A30" s="76" t="s">
        <v>12</v>
      </c>
      <c r="B30" s="90"/>
      <c r="C30" s="86">
        <f>(HLOOKUP(CONCATENATE($C$3,-1),alles!$D$1:$AA$314,(MATCH(M30,alles!$C$1:$C$314,0)),0))</f>
        <v>0</v>
      </c>
      <c r="D30" s="87">
        <f>(HLOOKUP(CONCATENATE($C$3,-2),alles!$D$1:$AA$314,(MATCH(M30,alles!$C$1:$C$314,0)),0))</f>
        <v>0</v>
      </c>
      <c r="E30" s="86">
        <f>(HLOOKUP(CONCATENATE($E$3,-1),alles!$D$1:$AA$314,(MATCH(M30,alles!$C$1:$C$314,0)),0))</f>
        <v>0</v>
      </c>
      <c r="F30" s="87">
        <f>(HLOOKUP(CONCATENATE($E$3,-2),alles!$D$1:$AA$314,(MATCH(M30,alles!$C$1:$C$314,0)),0))</f>
        <v>0</v>
      </c>
      <c r="G30" s="86">
        <f>(HLOOKUP(CONCATENATE($G$3,-1),alles!$D$1:$AA$314,(MATCH(M30,alles!$C$1:$C$314,0)),0))</f>
        <v>0</v>
      </c>
      <c r="H30" s="87">
        <f>(HLOOKUP(CONCATENATE($G$3,-2),alles!$D$1:$AA$314,(MATCH(M30,alles!$C$1:$C$314,0)),0))</f>
        <v>0</v>
      </c>
      <c r="I30" s="86">
        <f>(HLOOKUP(CONCATENATE($I$3,-1),alles!$D$1:$AA$314,(MATCH(M30,alles!$C$1:$C$314,0)),0))</f>
        <v>0</v>
      </c>
      <c r="J30" s="87">
        <f>(HLOOKUP(CONCATENATE($I$3,-2),alles!$D$1:$AA$314,(MATCH(M30,alles!$C$1:$C$314,0)),0))</f>
        <v>0</v>
      </c>
      <c r="K30" s="90" t="s">
        <v>23</v>
      </c>
      <c r="M30" s="39" t="s">
        <v>302</v>
      </c>
    </row>
    <row r="31" spans="1:13" x14ac:dyDescent="0.15">
      <c r="A31" s="68"/>
      <c r="B31" s="68"/>
      <c r="C31" s="72"/>
      <c r="D31" s="72"/>
      <c r="E31" s="72"/>
      <c r="F31" s="72"/>
      <c r="G31" s="72"/>
      <c r="H31" s="72"/>
      <c r="I31" s="72"/>
      <c r="J31" s="72"/>
      <c r="K31" s="68"/>
    </row>
    <row r="32" spans="1:13" x14ac:dyDescent="0.15">
      <c r="A32" s="101" t="s">
        <v>137</v>
      </c>
      <c r="B32" s="99" t="s">
        <v>31</v>
      </c>
      <c r="C32" s="117">
        <f t="shared" ref="C32:F32" si="3">SUM(C36:C45)+C35-C34+C33</f>
        <v>45352.96961349</v>
      </c>
      <c r="D32" s="117">
        <f t="shared" si="3"/>
        <v>41536</v>
      </c>
      <c r="E32" s="117">
        <f t="shared" si="3"/>
        <v>60040</v>
      </c>
      <c r="F32" s="117">
        <f t="shared" si="3"/>
        <v>42049</v>
      </c>
      <c r="G32" s="117">
        <f>SUM(G36:G45)+G35-G34+G33</f>
        <v>53736</v>
      </c>
      <c r="H32" s="117">
        <f>SUM(H36:H45)+H35-H34+H33</f>
        <v>50313</v>
      </c>
      <c r="I32" s="117">
        <f t="shared" ref="I32:J32" si="4">SUM(I36:I45)+I35-I34+I33</f>
        <v>49387</v>
      </c>
      <c r="J32" s="117">
        <f t="shared" si="4"/>
        <v>50858</v>
      </c>
      <c r="K32" s="447" t="s">
        <v>23</v>
      </c>
    </row>
    <row r="33" spans="1:14" hidden="1" x14ac:dyDescent="0.15">
      <c r="A33" s="80" t="s">
        <v>430</v>
      </c>
      <c r="B33" s="446"/>
      <c r="C33" s="86">
        <f>(HLOOKUP(CONCATENATE($C$3,-1),alles!$D$1:$AA$314,(MATCH(M33,alles!$C$1:$C$314,0)),0))+(HLOOKUP(CONCATENATE($C$3,-1),alles!$D$1:$AA$314,(MATCH(N33,alles!$C$1:$C$314,0)),0))</f>
        <v>0</v>
      </c>
      <c r="D33" s="87">
        <f>(HLOOKUP(CONCATENATE($C$3,-2),alles!$D$1:$AA$314,(MATCH(M33,alles!$C$1:$C$314,0)),0))+(HLOOKUP(CONCATENATE($C$3,-2),alles!$D$1:$AA$314,(MATCH(N33,alles!$C$1:$C$314,0)),0))</f>
        <v>0</v>
      </c>
      <c r="E33" s="86">
        <f>(HLOOKUP(CONCATENATE($E$3,-1),alles!$D$1:$AA$314,(MATCH(M33,alles!$C$1:$C$314,0)),0))+(HLOOKUP(CONCATENATE($E$3,-1),alles!$D$1:$AA$314,(MATCH(N33,alles!$C$1:$C$314,0)),0))</f>
        <v>0</v>
      </c>
      <c r="F33" s="87">
        <f>(HLOOKUP(CONCATENATE($E$3,-2),alles!$D$1:$AA$314,(MATCH(M33,alles!$C$1:$C$314,0)),0))+(HLOOKUP(CONCATENATE($E$3,-2),alles!$D$1:$AA$314,(MATCH(N33,alles!$C$1:$C$314,0)),0))</f>
        <v>0</v>
      </c>
      <c r="G33" s="86">
        <f>(HLOOKUP(CONCATENATE($G$3,-1),alles!$D$1:$AA$314,(MATCH(M33,alles!$C$1:$C$314,0)),0))+(HLOOKUP(CONCATENATE($G$3,-1),alles!$D$1:$AA$314,(MATCH(N33,alles!$C$1:$C$314,0)),0))</f>
        <v>0</v>
      </c>
      <c r="H33" s="87">
        <f>(HLOOKUP(CONCATENATE($G$3,-2),alles!$D$1:$AA$314,(MATCH(M33,alles!$C$1:$C$314,0)),0))+(HLOOKUP(CONCATENATE($G$3,-2),alles!$D$1:$AA$314,(MATCH(N33,alles!$C$1:$C$314,0)),0))</f>
        <v>0</v>
      </c>
      <c r="I33" s="86">
        <f>(HLOOKUP(CONCATENATE($I$3,-1),alles!$D$1:$AA$314,(MATCH(M33,alles!$C$1:$C$314,0)),0))+(HLOOKUP(CONCATENATE($I$3,-1),alles!$D$1:$AA$314,(MATCH(N33,alles!$C$1:$C$314,0)),0))</f>
        <v>0</v>
      </c>
      <c r="J33" s="87">
        <f>(HLOOKUP(CONCATENATE($I$3,-2),alles!$D$1:$AA$314,(MATCH(M33,alles!$C$1:$C$314,0)),0))+(HLOOKUP(CONCATENATE($I$3,-2),alles!$D$1:$AA$314,(MATCH(N33,alles!$C$1:$C$314,0)),0))</f>
        <v>0</v>
      </c>
      <c r="K33" s="102" t="s">
        <v>23</v>
      </c>
      <c r="M33" s="39" t="s">
        <v>424</v>
      </c>
      <c r="N33" s="39" t="s">
        <v>427</v>
      </c>
    </row>
    <row r="34" spans="1:14" hidden="1" x14ac:dyDescent="0.15">
      <c r="A34" s="74" t="s">
        <v>431</v>
      </c>
      <c r="B34" s="446"/>
      <c r="C34" s="86">
        <f>(HLOOKUP(CONCATENATE($C$3,-1),alles!$D$1:$AA$314,(MATCH(M34,alles!$C$1:$C$314,0)),0))+(HLOOKUP(CONCATENATE($C$3,-1),alles!$D$1:$AA$314,(MATCH(N34,alles!$C$1:$C$314,0)),0))</f>
        <v>0</v>
      </c>
      <c r="D34" s="87">
        <f>(HLOOKUP(CONCATENATE($C$3,-2),alles!$D$1:$AA$314,(MATCH(M34,alles!$C$1:$C$314,0)),0))+(HLOOKUP(CONCATENATE($C$3,-2),alles!$D$1:$AA$314,(MATCH(N34,alles!$C$1:$C$314,0)),0))</f>
        <v>0</v>
      </c>
      <c r="E34" s="86">
        <f>(HLOOKUP(CONCATENATE($E$3,-1),alles!$D$1:$AA$314,(MATCH(M34,alles!$C$1:$C$314,0)),0))+(HLOOKUP(CONCATENATE($E$3,-1),alles!$D$1:$AA$314,(MATCH(N34,alles!$C$1:$C$314,0)),0))</f>
        <v>0</v>
      </c>
      <c r="F34" s="87">
        <f>(HLOOKUP(CONCATENATE($E$3,-2),alles!$D$1:$AA$314,(MATCH(M34,alles!$C$1:$C$314,0)),0))+(HLOOKUP(CONCATENATE($E$3,-2),alles!$D$1:$AA$314,(MATCH(N34,alles!$C$1:$C$314,0)),0))</f>
        <v>0</v>
      </c>
      <c r="G34" s="86">
        <f>(HLOOKUP(CONCATENATE($G$3,-1),alles!$D$1:$AA$314,(MATCH(M34,alles!$C$1:$C$314,0)),0))+(HLOOKUP(CONCATENATE($G$3,-1),alles!$D$1:$AA$314,(MATCH(N34,alles!$C$1:$C$314,0)),0))</f>
        <v>0</v>
      </c>
      <c r="H34" s="87">
        <f>(HLOOKUP(CONCATENATE($G$3,-2),alles!$D$1:$AA$314,(MATCH(M34,alles!$C$1:$C$314,0)),0))+(HLOOKUP(CONCATENATE($G$3,-2),alles!$D$1:$AA$314,(MATCH(N34,alles!$C$1:$C$314,0)),0))</f>
        <v>0</v>
      </c>
      <c r="I34" s="86">
        <f>(HLOOKUP(CONCATENATE($I$3,-1),alles!$D$1:$AA$314,(MATCH(M34,alles!$C$1:$C$314,0)),0))+(HLOOKUP(CONCATENATE($I$3,-1),alles!$D$1:$AA$314,(MATCH(N34,alles!$C$1:$C$314,0)),0))</f>
        <v>0</v>
      </c>
      <c r="J34" s="87">
        <f>(HLOOKUP(CONCATENATE($I$3,-2),alles!$D$1:$AA$314,(MATCH(M34,alles!$C$1:$C$314,0)),0))+(HLOOKUP(CONCATENATE($I$3,-2),alles!$D$1:$AA$314,(MATCH(N34,alles!$C$1:$C$314,0)),0))</f>
        <v>0</v>
      </c>
      <c r="K34" s="102" t="s">
        <v>23</v>
      </c>
      <c r="M34" s="39" t="s">
        <v>425</v>
      </c>
      <c r="N34" s="39" t="s">
        <v>428</v>
      </c>
    </row>
    <row r="35" spans="1:14" hidden="1" x14ac:dyDescent="0.15">
      <c r="A35" s="74" t="s">
        <v>432</v>
      </c>
      <c r="B35" s="446"/>
      <c r="C35" s="86">
        <f>(HLOOKUP(CONCATENATE($C$3,-1),alles!$D$1:$AA$314,(MATCH(M35,alles!$C$1:$C$314,0)),0))+(HLOOKUP(CONCATENATE($C$3,-1),alles!$D$1:$AA$314,(MATCH(N35,alles!$C$1:$C$314,0)),0))</f>
        <v>0</v>
      </c>
      <c r="D35" s="87">
        <f>(HLOOKUP(CONCATENATE($C$3,-2),alles!$D$1:$AA$314,(MATCH(M35,alles!$C$1:$C$314,0)),0))+(HLOOKUP(CONCATENATE($C$3,-2),alles!$D$1:$AA$314,(MATCH(N35,alles!$C$1:$C$314,0)),0))</f>
        <v>0</v>
      </c>
      <c r="E35" s="86">
        <f>(HLOOKUP(CONCATENATE($E$3,-1),alles!$D$1:$AA$314,(MATCH(M35,alles!$C$1:$C$314,0)),0))+(HLOOKUP(CONCATENATE($E$3,-1),alles!$D$1:$AA$314,(MATCH(N35,alles!$C$1:$C$314,0)),0))</f>
        <v>0</v>
      </c>
      <c r="F35" s="87">
        <f>(HLOOKUP(CONCATENATE($E$3,-2),alles!$D$1:$AA$314,(MATCH(M35,alles!$C$1:$C$314,0)),0))+(HLOOKUP(CONCATENATE($E$3,-2),alles!$D$1:$AA$314,(MATCH(N35,alles!$C$1:$C$314,0)),0))</f>
        <v>0</v>
      </c>
      <c r="G35" s="86">
        <f>(HLOOKUP(CONCATENATE($G$3,-1),alles!$D$1:$AA$314,(MATCH(M35,alles!$C$1:$C$314,0)),0))+(HLOOKUP(CONCATENATE($G$3,-1),alles!$D$1:$AA$314,(MATCH(N35,alles!$C$1:$C$314,0)),0))</f>
        <v>0</v>
      </c>
      <c r="H35" s="87">
        <f>(HLOOKUP(CONCATENATE($G$3,-2),alles!$D$1:$AA$314,(MATCH(M35,alles!$C$1:$C$314,0)),0))+(HLOOKUP(CONCATENATE($G$3,-2),alles!$D$1:$AA$314,(MATCH(N35,alles!$C$1:$C$314,0)),0))</f>
        <v>0</v>
      </c>
      <c r="I35" s="86">
        <f>(HLOOKUP(CONCATENATE($I$3,-1),alles!$D$1:$AA$314,(MATCH(M35,alles!$C$1:$C$314,0)),0))+(HLOOKUP(CONCATENATE($I$3,-1),alles!$D$1:$AA$314,(MATCH(N35,alles!$C$1:$C$314,0)),0))</f>
        <v>0</v>
      </c>
      <c r="J35" s="87">
        <f>(HLOOKUP(CONCATENATE($I$3,-2),alles!$D$1:$AA$314,(MATCH(M35,alles!$C$1:$C$314,0)),0))+(HLOOKUP(CONCATENATE($I$3,-2),alles!$D$1:$AA$314,(MATCH(N35,alles!$C$1:$C$314,0)),0))</f>
        <v>0</v>
      </c>
      <c r="K35" s="102" t="s">
        <v>23</v>
      </c>
      <c r="M35" s="39" t="s">
        <v>426</v>
      </c>
      <c r="N35" s="39" t="s">
        <v>429</v>
      </c>
    </row>
    <row r="36" spans="1:14" x14ac:dyDescent="0.15">
      <c r="A36" s="80" t="s">
        <v>138</v>
      </c>
      <c r="B36" s="82" t="s">
        <v>26</v>
      </c>
      <c r="C36" s="118">
        <f>(HLOOKUP(CONCATENATE($C$3,-1),alles!$D$1:$AA$314,(MATCH(M36,alles!$C$1:$C$314,0)),0))</f>
        <v>37794.166515489997</v>
      </c>
      <c r="D36" s="253">
        <f>(HLOOKUP(CONCATENATE($C$3,-2),alles!$D$1:$AA$314,(MATCH(M36,alles!$C$1:$C$314,0)),0))</f>
        <v>0</v>
      </c>
      <c r="E36" s="118">
        <f>(HLOOKUP(CONCATENATE($E$3,-1),alles!$D$1:$AA$314,(MATCH(M36,alles!$C$1:$C$314,0)),0))</f>
        <v>0</v>
      </c>
      <c r="F36" s="253">
        <f>(HLOOKUP(CONCATENATE($E$3,-2),alles!$D$1:$AA$314,(MATCH(M36,alles!$C$1:$C$314,0)),0))</f>
        <v>0</v>
      </c>
      <c r="G36" s="118">
        <f>(HLOOKUP(CONCATENATE($G$3,-1),alles!$D$1:$AA$314,(MATCH(M36,alles!$C$1:$C$314,0)),0))</f>
        <v>0</v>
      </c>
      <c r="H36" s="253">
        <f>(HLOOKUP(CONCATENATE($G$3,-2),alles!$D$1:$AA$314,(MATCH(M36,alles!$C$1:$C$314,0)),0))</f>
        <v>0</v>
      </c>
      <c r="I36" s="118">
        <f>(HLOOKUP(CONCATENATE($I$3,-1),alles!$D$1:$AA$314,(MATCH(M36,alles!$C$1:$C$314,0)),0))</f>
        <v>0</v>
      </c>
      <c r="J36" s="253">
        <f>(HLOOKUP(CONCATENATE($I$3,-2),alles!$D$1:$AA$314,(MATCH(M36,alles!$C$1:$C$314,0)),0))</f>
        <v>0</v>
      </c>
      <c r="K36" s="112" t="s">
        <v>23</v>
      </c>
      <c r="M36" s="39" t="s">
        <v>322</v>
      </c>
    </row>
    <row r="37" spans="1:14" x14ac:dyDescent="0.15">
      <c r="A37" s="74" t="s">
        <v>139</v>
      </c>
      <c r="B37" s="85" t="s">
        <v>30</v>
      </c>
      <c r="C37" s="86">
        <f>(HLOOKUP(CONCATENATE($C$3,-1),alles!$D$1:$AA$314,(MATCH(M37,alles!$C$1:$C$314,0)),0))</f>
        <v>0</v>
      </c>
      <c r="D37" s="87">
        <f>(HLOOKUP(CONCATENATE($C$3,-2),alles!$D$1:$AA$314,(MATCH(M37,alles!$C$1:$C$314,0)),0))</f>
        <v>0</v>
      </c>
      <c r="E37" s="86">
        <f>(HLOOKUP(CONCATENATE($E$3,-1),alles!$D$1:$AA$314,(MATCH(M37,alles!$C$1:$C$314,0)),0))</f>
        <v>0</v>
      </c>
      <c r="F37" s="87">
        <f>(HLOOKUP(CONCATENATE($E$3,-2),alles!$D$1:$AA$314,(MATCH(M37,alles!$C$1:$C$314,0)),0))</f>
        <v>0</v>
      </c>
      <c r="G37" s="86">
        <f>(HLOOKUP(CONCATENATE($G$3,-1),alles!$D$1:$AA$314,(MATCH(M37,alles!$C$1:$C$314,0)),0))</f>
        <v>0</v>
      </c>
      <c r="H37" s="87">
        <f>(HLOOKUP(CONCATENATE($G$3,-2),alles!$D$1:$AA$314,(MATCH(M37,alles!$C$1:$C$314,0)),0))</f>
        <v>0</v>
      </c>
      <c r="I37" s="86">
        <f>(HLOOKUP(CONCATENATE($I$3,-1),alles!$D$1:$AA$314,(MATCH(M37,alles!$C$1:$C$314,0)),0))</f>
        <v>0</v>
      </c>
      <c r="J37" s="87">
        <f>(HLOOKUP(CONCATENATE($I$3,-2),alles!$D$1:$AA$314,(MATCH(M37,alles!$C$1:$C$314,0)),0))</f>
        <v>0</v>
      </c>
      <c r="K37" s="102" t="s">
        <v>23</v>
      </c>
      <c r="M37" s="39" t="s">
        <v>323</v>
      </c>
    </row>
    <row r="38" spans="1:14" x14ac:dyDescent="0.15">
      <c r="A38" s="74"/>
      <c r="B38" s="85" t="s">
        <v>28</v>
      </c>
      <c r="C38" s="86">
        <f>(HLOOKUP(CONCATENATE($C$3,-1),alles!$D$1:$AA$314,(MATCH(M38,alles!$C$1:$C$314,0)),0))</f>
        <v>7558.8030980000003</v>
      </c>
      <c r="D38" s="87">
        <f>(HLOOKUP(CONCATENATE($C$3,-2),alles!$D$1:$AA$314,(MATCH(M38,alles!$C$1:$C$314,0)),0))</f>
        <v>41536</v>
      </c>
      <c r="E38" s="86">
        <f>(HLOOKUP(CONCATENATE($E$3,-1),alles!$D$1:$AA$314,(MATCH(M38,alles!$C$1:$C$314,0)),0))</f>
        <v>60040</v>
      </c>
      <c r="F38" s="87">
        <f>(HLOOKUP(CONCATENATE($E$3,-2),alles!$D$1:$AA$314,(MATCH(M38,alles!$C$1:$C$314,0)),0))</f>
        <v>42049</v>
      </c>
      <c r="G38" s="86">
        <f>(HLOOKUP(CONCATENATE($G$3,-1),alles!$D$1:$AA$314,(MATCH(M38,alles!$C$1:$C$314,0)),0))</f>
        <v>53736</v>
      </c>
      <c r="H38" s="87">
        <f>(HLOOKUP(CONCATENATE($G$3,-2),alles!$D$1:$AA$314,(MATCH(M38,alles!$C$1:$C$314,0)),0))</f>
        <v>50313</v>
      </c>
      <c r="I38" s="86">
        <f>(HLOOKUP(CONCATENATE($I$3,-1),alles!$D$1:$AA$314,(MATCH(M38,alles!$C$1:$C$314,0)),0))</f>
        <v>49387</v>
      </c>
      <c r="J38" s="87">
        <f>(HLOOKUP(CONCATENATE($I$3,-2),alles!$D$1:$AA$314,(MATCH(M38,alles!$C$1:$C$314,0)),0))</f>
        <v>50858</v>
      </c>
      <c r="K38" s="102" t="s">
        <v>23</v>
      </c>
      <c r="M38" s="39" t="s">
        <v>324</v>
      </c>
    </row>
    <row r="39" spans="1:14" x14ac:dyDescent="0.15">
      <c r="A39" s="74"/>
      <c r="B39" s="85" t="s">
        <v>141</v>
      </c>
      <c r="C39" s="86">
        <f>(HLOOKUP(CONCATENATE($C$3,-1),alles!$D$1:$AA$314,(MATCH(M39,alles!$C$1:$C$314,0)),0))</f>
        <v>0</v>
      </c>
      <c r="D39" s="87">
        <f>(HLOOKUP(CONCATENATE($C$3,-2),alles!$D$1:$AA$314,(MATCH(M39,alles!$C$1:$C$314,0)),0))</f>
        <v>0</v>
      </c>
      <c r="E39" s="86">
        <f>(HLOOKUP(CONCATENATE($E$3,-1),alles!$D$1:$AA$314,(MATCH(M39,alles!$C$1:$C$314,0)),0))</f>
        <v>0</v>
      </c>
      <c r="F39" s="87">
        <f>(HLOOKUP(CONCATENATE($E$3,-2),alles!$D$1:$AA$314,(MATCH(M39,alles!$C$1:$C$314,0)),0))</f>
        <v>0</v>
      </c>
      <c r="G39" s="86">
        <f>(HLOOKUP(CONCATENATE($G$3,-1),alles!$D$1:$AA$314,(MATCH(M39,alles!$C$1:$C$314,0)),0))</f>
        <v>0</v>
      </c>
      <c r="H39" s="87">
        <f>(HLOOKUP(CONCATENATE($G$3,-2),alles!$D$1:$AA$314,(MATCH(M39,alles!$C$1:$C$314,0)),0))</f>
        <v>0</v>
      </c>
      <c r="I39" s="86">
        <f>(HLOOKUP(CONCATENATE($I$3,-1),alles!$D$1:$AA$314,(MATCH(M39,alles!$C$1:$C$314,0)),0))</f>
        <v>0</v>
      </c>
      <c r="J39" s="87">
        <f>(HLOOKUP(CONCATENATE($I$3,-2),alles!$D$1:$AA$314,(MATCH(M39,alles!$C$1:$C$314,0)),0))</f>
        <v>0</v>
      </c>
      <c r="K39" s="102" t="s">
        <v>23</v>
      </c>
      <c r="M39" s="39" t="s">
        <v>271</v>
      </c>
    </row>
    <row r="40" spans="1:14" x14ac:dyDescent="0.15">
      <c r="A40" s="76"/>
      <c r="B40" s="90" t="s">
        <v>12</v>
      </c>
      <c r="C40" s="91">
        <f>(HLOOKUP(CONCATENATE($C$3,-1),alles!$D$1:$AA$314,(MATCH(M40,alles!$C$1:$C$314,0)),0))</f>
        <v>0</v>
      </c>
      <c r="D40" s="92">
        <f>(HLOOKUP(CONCATENATE($C$3,-2),alles!$D$1:$AA$314,(MATCH(M40,alles!$C$1:$C$314,0)),0))</f>
        <v>0</v>
      </c>
      <c r="E40" s="91">
        <f>(HLOOKUP(CONCATENATE($E$3,-1),alles!$D$1:$AA$314,(MATCH(M40,alles!$C$1:$C$314,0)),0))</f>
        <v>0</v>
      </c>
      <c r="F40" s="92">
        <f>(HLOOKUP(CONCATENATE($E$3,-2),alles!$D$1:$AA$314,(MATCH(M40,alles!$C$1:$C$314,0)),0))</f>
        <v>0</v>
      </c>
      <c r="G40" s="91">
        <f>(HLOOKUP(CONCATENATE($G$3,-1),alles!$D$1:$AA$314,(MATCH(M40,alles!$C$1:$C$314,0)),0))</f>
        <v>0</v>
      </c>
      <c r="H40" s="92">
        <f>(HLOOKUP(CONCATENATE($G$3,-2),alles!$D$1:$AA$314,(MATCH(M40,alles!$C$1:$C$314,0)),0))</f>
        <v>0</v>
      </c>
      <c r="I40" s="91">
        <f>(HLOOKUP(CONCATENATE($I$3,-1),alles!$D$1:$AA$314,(MATCH(M40,alles!$C$1:$C$314,0)),0))</f>
        <v>0</v>
      </c>
      <c r="J40" s="92">
        <f>(HLOOKUP(CONCATENATE($I$3,-2),alles!$D$1:$AA$314,(MATCH(M40,alles!$C$1:$C$314,0)),0))</f>
        <v>0</v>
      </c>
      <c r="K40" s="103" t="s">
        <v>23</v>
      </c>
      <c r="M40" s="39" t="s">
        <v>325</v>
      </c>
    </row>
    <row r="41" spans="1:14" x14ac:dyDescent="0.15">
      <c r="A41" s="74" t="s">
        <v>140</v>
      </c>
      <c r="B41" s="85" t="s">
        <v>26</v>
      </c>
      <c r="C41" s="86">
        <f>(HLOOKUP(CONCATENATE($C$3,-1),alles!$D$1:$AA$314,(MATCH(M41,alles!$C$1:$C$314,0)),0))</f>
        <v>0</v>
      </c>
      <c r="D41" s="87">
        <f>(HLOOKUP(CONCATENATE($C$3,-2),alles!$D$1:$AA$314,(MATCH(M41,alles!$C$1:$C$314,0)),0))</f>
        <v>0</v>
      </c>
      <c r="E41" s="86">
        <f>(HLOOKUP(CONCATENATE($E$3,-1),alles!$D$1:$AA$314,(MATCH(M41,alles!$C$1:$C$314,0)),0))</f>
        <v>0</v>
      </c>
      <c r="F41" s="87">
        <f>(HLOOKUP(CONCATENATE($E$3,-2),alles!$D$1:$AA$314,(MATCH(M41,alles!$C$1:$C$314,0)),0))</f>
        <v>0</v>
      </c>
      <c r="G41" s="86">
        <f>(HLOOKUP(CONCATENATE($G$3,-1),alles!$D$1:$AA$314,(MATCH(M41,alles!$C$1:$C$314,0)),0))</f>
        <v>0</v>
      </c>
      <c r="H41" s="87">
        <f>(HLOOKUP(CONCATENATE($G$3,-2),alles!$D$1:$AA$314,(MATCH(M41,alles!$C$1:$C$314,0)),0))</f>
        <v>0</v>
      </c>
      <c r="I41" s="86">
        <f>(HLOOKUP(CONCATENATE($I$3,-1),alles!$D$1:$AA$314,(MATCH(M41,alles!$C$1:$C$314,0)),0))</f>
        <v>0</v>
      </c>
      <c r="J41" s="87">
        <f>(HLOOKUP(CONCATENATE($I$3,-2),alles!$D$1:$AA$314,(MATCH(M41,alles!$C$1:$C$314,0)),0))</f>
        <v>0</v>
      </c>
      <c r="K41" s="102" t="s">
        <v>23</v>
      </c>
      <c r="M41" s="39" t="s">
        <v>326</v>
      </c>
    </row>
    <row r="42" spans="1:14" x14ac:dyDescent="0.15">
      <c r="A42" s="74" t="s">
        <v>139</v>
      </c>
      <c r="B42" s="85" t="s">
        <v>30</v>
      </c>
      <c r="C42" s="86">
        <f>(HLOOKUP(CONCATENATE($C$3,-1),alles!$D$1:$AA$314,(MATCH(M42,alles!$C$1:$C$314,0)),0))</f>
        <v>0</v>
      </c>
      <c r="D42" s="87">
        <f>(HLOOKUP(CONCATENATE($C$3,-2),alles!$D$1:$AA$314,(MATCH(M42,alles!$C$1:$C$314,0)),0))</f>
        <v>0</v>
      </c>
      <c r="E42" s="86">
        <f>(HLOOKUP(CONCATENATE($E$3,-1),alles!$D$1:$AA$314,(MATCH(M42,alles!$C$1:$C$314,0)),0))</f>
        <v>0</v>
      </c>
      <c r="F42" s="87">
        <f>(HLOOKUP(CONCATENATE($E$3,-2),alles!$D$1:$AA$314,(MATCH(M42,alles!$C$1:$C$314,0)),0))</f>
        <v>0</v>
      </c>
      <c r="G42" s="86">
        <f>(HLOOKUP(CONCATENATE($G$3,-1),alles!$D$1:$AA$314,(MATCH(M42,alles!$C$1:$C$314,0)),0))</f>
        <v>0</v>
      </c>
      <c r="H42" s="87">
        <f>(HLOOKUP(CONCATENATE($G$3,-2),alles!$D$1:$AA$314,(MATCH(M42,alles!$C$1:$C$314,0)),0))</f>
        <v>0</v>
      </c>
      <c r="I42" s="86">
        <f>(HLOOKUP(CONCATENATE($I$3,-1),alles!$D$1:$AA$314,(MATCH(M42,alles!$C$1:$C$314,0)),0))</f>
        <v>0</v>
      </c>
      <c r="J42" s="87">
        <f>(HLOOKUP(CONCATENATE($I$3,-2),alles!$D$1:$AA$314,(MATCH(M42,alles!$C$1:$C$314,0)),0))</f>
        <v>0</v>
      </c>
      <c r="K42" s="102" t="s">
        <v>23</v>
      </c>
      <c r="M42" s="39" t="s">
        <v>327</v>
      </c>
    </row>
    <row r="43" spans="1:14" x14ac:dyDescent="0.15">
      <c r="A43" s="74"/>
      <c r="B43" s="85" t="s">
        <v>28</v>
      </c>
      <c r="C43" s="86">
        <f>(HLOOKUP(CONCATENATE($C$3,-1),alles!$D$1:$AA$314,(MATCH(M43,alles!$C$1:$C$314,0)),0))</f>
        <v>0</v>
      </c>
      <c r="D43" s="87">
        <f>(HLOOKUP(CONCATENATE($C$3,-2),alles!$D$1:$AA$314,(MATCH(M43,alles!$C$1:$C$314,0)),0))</f>
        <v>0</v>
      </c>
      <c r="E43" s="86">
        <f>(HLOOKUP(CONCATENATE($E$3,-1),alles!$D$1:$AA$314,(MATCH(M43,alles!$C$1:$C$314,0)),0))</f>
        <v>0</v>
      </c>
      <c r="F43" s="87">
        <f>(HLOOKUP(CONCATENATE($E$3,-2),alles!$D$1:$AA$314,(MATCH(M43,alles!$C$1:$C$314,0)),0))</f>
        <v>0</v>
      </c>
      <c r="G43" s="86">
        <f>(HLOOKUP(CONCATENATE($G$3,-1),alles!$D$1:$AA$314,(MATCH(M43,alles!$C$1:$C$314,0)),0))</f>
        <v>0</v>
      </c>
      <c r="H43" s="87">
        <f>(HLOOKUP(CONCATENATE($G$3,-2),alles!$D$1:$AA$314,(MATCH(M43,alles!$C$1:$C$314,0)),0))</f>
        <v>0</v>
      </c>
      <c r="I43" s="86">
        <f>(HLOOKUP(CONCATENATE($I$3,-1),alles!$D$1:$AA$314,(MATCH(M43,alles!$C$1:$C$314,0)),0))</f>
        <v>0</v>
      </c>
      <c r="J43" s="87">
        <f>(HLOOKUP(CONCATENATE($I$3,-2),alles!$D$1:$AA$314,(MATCH(M43,alles!$C$1:$C$314,0)),0))</f>
        <v>0</v>
      </c>
      <c r="K43" s="102" t="s">
        <v>23</v>
      </c>
      <c r="M43" s="39" t="s">
        <v>328</v>
      </c>
    </row>
    <row r="44" spans="1:14" x14ac:dyDescent="0.15">
      <c r="A44" s="74"/>
      <c r="B44" s="85" t="s">
        <v>141</v>
      </c>
      <c r="C44" s="86">
        <f>(HLOOKUP(CONCATENATE($C$3,-1),alles!$D$1:$AA$314,(MATCH(M44,alles!$C$1:$C$314,0)),0))</f>
        <v>0</v>
      </c>
      <c r="D44" s="87">
        <f>(HLOOKUP(CONCATENATE($C$3,-2),alles!$D$1:$AA$314,(MATCH(M44,alles!$C$1:$C$314,0)),0))</f>
        <v>0</v>
      </c>
      <c r="E44" s="86">
        <f>(HLOOKUP(CONCATENATE($E$3,-1),alles!$D$1:$AA$314,(MATCH(M44,alles!$C$1:$C$314,0)),0))</f>
        <v>0</v>
      </c>
      <c r="F44" s="87">
        <f>(HLOOKUP(CONCATENATE($E$3,-2),alles!$D$1:$AA$314,(MATCH(M44,alles!$C$1:$C$314,0)),0))</f>
        <v>0</v>
      </c>
      <c r="G44" s="86">
        <f>(HLOOKUP(CONCATENATE($G$3,-1),alles!$D$1:$AA$314,(MATCH(M44,alles!$C$1:$C$314,0)),0))</f>
        <v>0</v>
      </c>
      <c r="H44" s="87">
        <f>(HLOOKUP(CONCATENATE($G$3,-2),alles!$D$1:$AA$314,(MATCH(M44,alles!$C$1:$C$314,0)),0))</f>
        <v>0</v>
      </c>
      <c r="I44" s="86">
        <f>(HLOOKUP(CONCATENATE($I$3,-1),alles!$D$1:$AA$314,(MATCH(M44,alles!$C$1:$C$314,0)),0))</f>
        <v>0</v>
      </c>
      <c r="J44" s="87">
        <f>(HLOOKUP(CONCATENATE($I$3,-2),alles!$D$1:$AA$314,(MATCH(M44,alles!$C$1:$C$314,0)),0))</f>
        <v>0</v>
      </c>
      <c r="K44" s="102" t="s">
        <v>23</v>
      </c>
      <c r="M44" s="39" t="s">
        <v>329</v>
      </c>
    </row>
    <row r="45" spans="1:14" x14ac:dyDescent="0.15">
      <c r="A45" s="74"/>
      <c r="B45" s="85" t="s">
        <v>12</v>
      </c>
      <c r="C45" s="86">
        <f>(HLOOKUP(CONCATENATE($C$3,-1),alles!$D$1:$AA$314,(MATCH(M45,alles!$C$1:$C$314,0)),0))</f>
        <v>0</v>
      </c>
      <c r="D45" s="87">
        <f>(HLOOKUP(CONCATENATE($C$3,-2),alles!$D$1:$AA$314,(MATCH(M45,alles!$C$1:$C$314,0)),0))</f>
        <v>0</v>
      </c>
      <c r="E45" s="86">
        <f>(HLOOKUP(CONCATENATE($E$3,-1),alles!$D$1:$AA$314,(MATCH(M45,alles!$C$1:$C$314,0)),0))</f>
        <v>0</v>
      </c>
      <c r="F45" s="87">
        <f>(HLOOKUP(CONCATENATE($E$3,-2),alles!$D$1:$AA$314,(MATCH(M45,alles!$C$1:$C$314,0)),0))</f>
        <v>0</v>
      </c>
      <c r="G45" s="86">
        <f>(HLOOKUP(CONCATENATE($G$3,-1),alles!$D$1:$AA$314,(MATCH(M45,alles!$C$1:$C$314,0)),0))</f>
        <v>0</v>
      </c>
      <c r="H45" s="87">
        <f>(HLOOKUP(CONCATENATE($G$3,-2),alles!$D$1:$AA$314,(MATCH(M45,alles!$C$1:$C$314,0)),0))</f>
        <v>0</v>
      </c>
      <c r="I45" s="86">
        <f>(HLOOKUP(CONCATENATE($I$3,-1),alles!$D$1:$AA$314,(MATCH(M45,alles!$C$1:$C$314,0)),0))</f>
        <v>0</v>
      </c>
      <c r="J45" s="87">
        <f>(HLOOKUP(CONCATENATE($I$3,-2),alles!$D$1:$AA$314,(MATCH(M45,alles!$C$1:$C$314,0)),0))</f>
        <v>0</v>
      </c>
      <c r="K45" s="102" t="s">
        <v>23</v>
      </c>
      <c r="M45" s="39" t="s">
        <v>330</v>
      </c>
    </row>
    <row r="46" spans="1:14" x14ac:dyDescent="0.15">
      <c r="A46" s="71" t="s">
        <v>251</v>
      </c>
      <c r="B46" s="93" t="s">
        <v>53</v>
      </c>
      <c r="C46" s="94">
        <f>(HLOOKUP(CONCATENATE($C$3,-1),alles!$D$1:$AA$314,(MATCH(M46,alles!$C$1:$C$314,0)),0))</f>
        <v>0</v>
      </c>
      <c r="D46" s="95">
        <f>(HLOOKUP(CONCATENATE($C$3,-2),alles!$D$1:$AA$314,(MATCH(M46,alles!$C$1:$C$314,0)),0))</f>
        <v>0</v>
      </c>
      <c r="E46" s="94">
        <f>(HLOOKUP(CONCATENATE($E$3,-1),alles!$D$1:$AA$314,(MATCH(M46,alles!$C$1:$C$314,0)),0))</f>
        <v>0</v>
      </c>
      <c r="F46" s="95">
        <f>(HLOOKUP(CONCATENATE($E$3,-2),alles!$D$1:$AA$314,(MATCH(M46,alles!$C$1:$C$314,0)),0))</f>
        <v>0</v>
      </c>
      <c r="G46" s="94">
        <f>(HLOOKUP(CONCATENATE($G$3,-1),alles!$D$1:$AA$314,(MATCH(M46,alles!$C$1:$C$314,0)),0))</f>
        <v>596.07000000000005</v>
      </c>
      <c r="H46" s="95">
        <f>(HLOOKUP(CONCATENATE($G$3,-2),alles!$D$1:$AA$314,(MATCH(M46,alles!$C$1:$C$314,0)),0))</f>
        <v>1567.83</v>
      </c>
      <c r="I46" s="94">
        <f>(HLOOKUP(CONCATENATE($I$3,-1),alles!$D$1:$AA$314,(MATCH(M46,alles!$C$1:$C$314,0)),0))</f>
        <v>1664.37</v>
      </c>
      <c r="J46" s="95">
        <f>(HLOOKUP(CONCATENATE($I$3,-2),alles!$D$1:$AA$314,(MATCH(M46,alles!$C$1:$C$314,0)),0))</f>
        <v>5889.67</v>
      </c>
      <c r="K46" s="93" t="s">
        <v>23</v>
      </c>
      <c r="M46" s="39" t="s">
        <v>418</v>
      </c>
    </row>
    <row r="47" spans="1:14" x14ac:dyDescent="0.15">
      <c r="A47" s="69"/>
      <c r="B47" s="104"/>
      <c r="C47" s="113"/>
      <c r="D47" s="113"/>
      <c r="E47" s="113"/>
      <c r="F47" s="113"/>
      <c r="G47" s="113"/>
      <c r="H47" s="113"/>
      <c r="I47" s="467"/>
      <c r="J47" s="467"/>
      <c r="K47" s="68"/>
    </row>
    <row r="48" spans="1:14" ht="12" x14ac:dyDescent="0.15">
      <c r="A48" s="106" t="s">
        <v>59</v>
      </c>
      <c r="B48" s="107" t="s">
        <v>17</v>
      </c>
      <c r="C48" s="72" t="s">
        <v>18</v>
      </c>
      <c r="D48" s="108" t="s">
        <v>19</v>
      </c>
      <c r="E48" s="109" t="s">
        <v>18</v>
      </c>
      <c r="F48" s="108" t="s">
        <v>19</v>
      </c>
      <c r="G48" s="109" t="s">
        <v>18</v>
      </c>
      <c r="H48" s="108" t="s">
        <v>19</v>
      </c>
      <c r="I48" s="109" t="s">
        <v>18</v>
      </c>
      <c r="J48" s="108" t="s">
        <v>19</v>
      </c>
      <c r="K48" s="73" t="s">
        <v>20</v>
      </c>
    </row>
    <row r="49" spans="1:13" ht="24" x14ac:dyDescent="0.15">
      <c r="A49" s="111" t="s">
        <v>457</v>
      </c>
      <c r="B49" s="97" t="s">
        <v>31</v>
      </c>
      <c r="C49" s="98">
        <f>SUM(C50:C53)</f>
        <v>0</v>
      </c>
      <c r="D49" s="98">
        <f t="shared" ref="D49" si="5">SUM(D50:D53)</f>
        <v>0</v>
      </c>
      <c r="E49" s="98">
        <f t="shared" ref="E49" si="6">SUM(E50:E53)</f>
        <v>0</v>
      </c>
      <c r="F49" s="98">
        <f t="shared" ref="F49" si="7">SUM(F50:F53)</f>
        <v>0</v>
      </c>
      <c r="G49" s="98">
        <f t="shared" ref="G49" si="8">SUM(G50:G53)</f>
        <v>0</v>
      </c>
      <c r="H49" s="98">
        <f t="shared" ref="H49" si="9">SUM(H50:H53)</f>
        <v>0</v>
      </c>
      <c r="I49" s="98">
        <f t="shared" ref="I49" si="10">SUM(I50:I53)</f>
        <v>0</v>
      </c>
      <c r="J49" s="117">
        <f t="shared" ref="J49" si="11">SUM(J50:J53)</f>
        <v>0</v>
      </c>
      <c r="K49" s="73"/>
    </row>
    <row r="50" spans="1:13" hidden="1" x14ac:dyDescent="0.15">
      <c r="A50" s="106"/>
      <c r="B50" s="562"/>
      <c r="C50" s="693">
        <f>(HLOOKUP(CONCATENATE($C$3,-1),alles!$D$1:$AA$314,(MATCH(M50,alles!$C$1:$C$314,0)),0))</f>
        <v>0</v>
      </c>
      <c r="D50" s="694">
        <f>(HLOOKUP(CONCATENATE($C$3,-2),alles!$D$1:$AA$314,(MATCH(M50,alles!$C$1:$C$314,0)),0))</f>
        <v>0</v>
      </c>
      <c r="E50" s="693">
        <f>(HLOOKUP(CONCATENATE($E$3,-1),alles!$D$1:$AA$314,(MATCH(M50,alles!$C$1:$C$314,0)),0))</f>
        <v>0</v>
      </c>
      <c r="F50" s="694">
        <f>(HLOOKUP(CONCATENATE($E$3,-2),alles!$D$1:$AA$314,(MATCH(M50,alles!$C$1:$C$314,0)),0))</f>
        <v>0</v>
      </c>
      <c r="G50" s="693">
        <f>(HLOOKUP(CONCATENATE($G$3,-1),alles!$D$1:$AA$314,(MATCH(M50,alles!$C$1:$C$314,0)),0))</f>
        <v>0</v>
      </c>
      <c r="H50" s="694">
        <f>(HLOOKUP(CONCATENATE($G$3,-2),alles!$D$1:$AA$314,(MATCH(M50,alles!$C$1:$C$314,0)),0))</f>
        <v>0</v>
      </c>
      <c r="I50" s="693">
        <f>(HLOOKUP(CONCATENATE($I$3,-1),alles!$D$1:$AA$314,(MATCH(M50,alles!$C$1:$C$314,0)),0))</f>
        <v>0</v>
      </c>
      <c r="J50" s="694">
        <f>(HLOOKUP(CONCATENATE($I$3,-2),alles!$D$1:$AA$314,(MATCH(M50,alles!$C$1:$C$314,0)),0))</f>
        <v>0</v>
      </c>
      <c r="K50" s="560"/>
      <c r="M50" s="39" t="s">
        <v>469</v>
      </c>
    </row>
    <row r="51" spans="1:13" hidden="1" x14ac:dyDescent="0.15">
      <c r="A51" s="106"/>
      <c r="B51" s="107"/>
      <c r="C51" s="98">
        <f>(HLOOKUP(CONCATENATE($C$3,-1),alles!$D$1:$AA$314,(MATCH(M51,alles!$C$1:$C$314,0)),0))</f>
        <v>0</v>
      </c>
      <c r="D51" s="117">
        <f>(HLOOKUP(CONCATENATE($C$3,-2),alles!$D$1:$AA$314,(MATCH(M51,alles!$C$1:$C$314,0)),0))</f>
        <v>0</v>
      </c>
      <c r="E51" s="98">
        <f>(HLOOKUP(CONCATENATE($E$3,-1),alles!$D$1:$AA$314,(MATCH(M51,alles!$C$1:$C$314,0)),0))</f>
        <v>0</v>
      </c>
      <c r="F51" s="117">
        <f>(HLOOKUP(CONCATENATE($E$3,-2),alles!$D$1:$AA$314,(MATCH(M51,alles!$C$1:$C$314,0)),0))</f>
        <v>0</v>
      </c>
      <c r="G51" s="98">
        <f>(HLOOKUP(CONCATENATE($G$3,-1),alles!$D$1:$AA$314,(MATCH(M51,alles!$C$1:$C$314,0)),0))</f>
        <v>0</v>
      </c>
      <c r="H51" s="117">
        <f>(HLOOKUP(CONCATENATE($G$3,-2),alles!$D$1:$AA$314,(MATCH(M51,alles!$C$1:$C$314,0)),0))</f>
        <v>0</v>
      </c>
      <c r="I51" s="98">
        <f>(HLOOKUP(CONCATENATE($I$3,-1),alles!$D$1:$AA$314,(MATCH(M51,alles!$C$1:$C$314,0)),0))</f>
        <v>0</v>
      </c>
      <c r="J51" s="117">
        <f>(HLOOKUP(CONCATENATE($I$3,-2),alles!$D$1:$AA$314,(MATCH(M51,alles!$C$1:$C$314,0)),0))</f>
        <v>0</v>
      </c>
      <c r="K51" s="73"/>
      <c r="M51" s="39" t="s">
        <v>470</v>
      </c>
    </row>
    <row r="52" spans="1:13" hidden="1" x14ac:dyDescent="0.15">
      <c r="A52" s="106"/>
      <c r="B52" s="107"/>
      <c r="C52" s="98">
        <f>(HLOOKUP(CONCATENATE($C$3,-1),alles!$D$1:$AA$314,(MATCH(M52,alles!$C$1:$C$314,0)),0))</f>
        <v>0</v>
      </c>
      <c r="D52" s="117">
        <f>(HLOOKUP(CONCATENATE($C$3,-2),alles!$D$1:$AA$314,(MATCH(M52,alles!$C$1:$C$314,0)),0))</f>
        <v>0</v>
      </c>
      <c r="E52" s="98">
        <f>(HLOOKUP(CONCATENATE($E$3,-1),alles!$D$1:$AA$314,(MATCH(M52,alles!$C$1:$C$314,0)),0))</f>
        <v>0</v>
      </c>
      <c r="F52" s="117">
        <f>(HLOOKUP(CONCATENATE($E$3,-2),alles!$D$1:$AA$314,(MATCH(M52,alles!$C$1:$C$314,0)),0))</f>
        <v>0</v>
      </c>
      <c r="G52" s="98">
        <f>(HLOOKUP(CONCATENATE($G$3,-1),alles!$D$1:$AA$314,(MATCH(M52,alles!$C$1:$C$314,0)),0))</f>
        <v>0</v>
      </c>
      <c r="H52" s="117">
        <f>(HLOOKUP(CONCATENATE($G$3,-2),alles!$D$1:$AA$314,(MATCH(M52,alles!$C$1:$C$314,0)),0))</f>
        <v>0</v>
      </c>
      <c r="I52" s="98">
        <f>(HLOOKUP(CONCATENATE($I$3,-1),alles!$D$1:$AA$314,(MATCH(M52,alles!$C$1:$C$314,0)),0))</f>
        <v>0</v>
      </c>
      <c r="J52" s="117">
        <f>(HLOOKUP(CONCATENATE($I$3,-2),alles!$D$1:$AA$314,(MATCH(M52,alles!$C$1:$C$314,0)),0))</f>
        <v>0</v>
      </c>
      <c r="K52" s="73"/>
      <c r="M52" s="39" t="s">
        <v>471</v>
      </c>
    </row>
    <row r="53" spans="1:13" hidden="1" x14ac:dyDescent="0.15">
      <c r="A53" s="106"/>
      <c r="B53" s="563"/>
      <c r="C53" s="693">
        <f>(HLOOKUP(CONCATENATE($C$3,-1),alles!$D$1:$AA$314,(MATCH(M53,alles!$C$1:$C$314,0)),0))</f>
        <v>0</v>
      </c>
      <c r="D53" s="694">
        <f>(HLOOKUP(CONCATENATE($C$3,-2),alles!$D$1:$AA$314,(MATCH(M53,alles!$C$1:$C$314,0)),0))</f>
        <v>0</v>
      </c>
      <c r="E53" s="693">
        <f>(HLOOKUP(CONCATENATE($E$3,-1),alles!$D$1:$AA$314,(MATCH(M53,alles!$C$1:$C$314,0)),0))</f>
        <v>0</v>
      </c>
      <c r="F53" s="694">
        <f>(HLOOKUP(CONCATENATE($E$3,-2),alles!$D$1:$AA$314,(MATCH(M53,alles!$C$1:$C$314,0)),0))</f>
        <v>0</v>
      </c>
      <c r="G53" s="693">
        <f>(HLOOKUP(CONCATENATE($G$3,-1),alles!$D$1:$AA$314,(MATCH(M53,alles!$C$1:$C$314,0)),0))</f>
        <v>0</v>
      </c>
      <c r="H53" s="694">
        <f>(HLOOKUP(CONCATENATE($G$3,-2),alles!$D$1:$AA$314,(MATCH(M53,alles!$C$1:$C$314,0)),0))</f>
        <v>0</v>
      </c>
      <c r="I53" s="693">
        <f>(HLOOKUP(CONCATENATE($I$3,-1),alles!$D$1:$AA$314,(MATCH(M53,alles!$C$1:$C$314,0)),0))</f>
        <v>0</v>
      </c>
      <c r="J53" s="694">
        <f>(HLOOKUP(CONCATENATE($I$3,-2),alles!$D$1:$AA$314,(MATCH(M53,alles!$C$1:$C$314,0)),0))</f>
        <v>0</v>
      </c>
      <c r="K53" s="114"/>
      <c r="M53" s="39" t="s">
        <v>472</v>
      </c>
    </row>
    <row r="54" spans="1:13" ht="11" customHeight="1" x14ac:dyDescent="0.15">
      <c r="A54" s="111" t="s">
        <v>443</v>
      </c>
      <c r="B54" s="97" t="s">
        <v>31</v>
      </c>
      <c r="C54" s="98">
        <f>SUM(C55:C58)</f>
        <v>0</v>
      </c>
      <c r="D54" s="98">
        <f t="shared" ref="D54" si="12">SUM(D55:D58)</f>
        <v>0</v>
      </c>
      <c r="E54" s="98">
        <f t="shared" ref="E54" si="13">SUM(E55:E58)</f>
        <v>0</v>
      </c>
      <c r="F54" s="98">
        <f t="shared" ref="F54" si="14">SUM(F55:F58)</f>
        <v>0</v>
      </c>
      <c r="G54" s="98">
        <f t="shared" ref="G54" si="15">SUM(G55:G58)</f>
        <v>0</v>
      </c>
      <c r="H54" s="98">
        <f t="shared" ref="H54" si="16">SUM(H55:H58)</f>
        <v>0</v>
      </c>
      <c r="I54" s="98">
        <f t="shared" ref="I54" si="17">SUM(I55:I58)</f>
        <v>0</v>
      </c>
      <c r="J54" s="117">
        <f t="shared" ref="J54" si="18">SUM(J55:J58)</f>
        <v>0</v>
      </c>
      <c r="K54" s="73"/>
    </row>
    <row r="55" spans="1:13" hidden="1" x14ac:dyDescent="0.15">
      <c r="A55" s="106"/>
      <c r="B55" s="107"/>
      <c r="C55" s="98">
        <f>(HLOOKUP(CONCATENATE($C$3,-1),alles!$D$1:$AA$314,(MATCH(M55,alles!$C$1:$C$314,0)),0))</f>
        <v>0</v>
      </c>
      <c r="D55" s="117">
        <f>(HLOOKUP(CONCATENATE($C$3,-2),alles!$D$1:$AA$314,(MATCH(M55,alles!$C$1:$C$314,0)),0))</f>
        <v>0</v>
      </c>
      <c r="E55" s="98">
        <f>(HLOOKUP(CONCATENATE($E$3,-1),alles!$D$1:$AA$314,(MATCH(M55,alles!$C$1:$C$314,0)),0))</f>
        <v>0</v>
      </c>
      <c r="F55" s="117">
        <f>(HLOOKUP(CONCATENATE($E$3,-2),alles!$D$1:$AA$314,(MATCH(M55,alles!$C$1:$C$314,0)),0))</f>
        <v>0</v>
      </c>
      <c r="G55" s="98">
        <f>(HLOOKUP(CONCATENATE($G$3,-1),alles!$D$1:$AA$314,(MATCH(M55,alles!$C$1:$C$314,0)),0))</f>
        <v>0</v>
      </c>
      <c r="H55" s="117">
        <f>(HLOOKUP(CONCATENATE($G$3,-2),alles!$D$1:$AA$314,(MATCH(M55,alles!$C$1:$C$314,0)),0))</f>
        <v>0</v>
      </c>
      <c r="I55" s="98">
        <f>(HLOOKUP(CONCATENATE($I$3,-1),alles!$D$1:$AA$314,(MATCH(M55,alles!$C$1:$C$314,0)),0))</f>
        <v>0</v>
      </c>
      <c r="J55" s="117">
        <f>(HLOOKUP(CONCATENATE($I$3,-2),alles!$D$1:$AA$314,(MATCH(M55,alles!$C$1:$C$314,0)),0))</f>
        <v>0</v>
      </c>
      <c r="K55" s="73"/>
      <c r="M55" s="39" t="s">
        <v>474</v>
      </c>
    </row>
    <row r="56" spans="1:13" hidden="1" x14ac:dyDescent="0.15">
      <c r="A56" s="106"/>
      <c r="B56" s="107"/>
      <c r="C56" s="98">
        <f>(HLOOKUP(CONCATENATE($C$3,-1),alles!$D$1:$AA$314,(MATCH(M56,alles!$C$1:$C$314,0)),0))</f>
        <v>0</v>
      </c>
      <c r="D56" s="117">
        <f>(HLOOKUP(CONCATENATE($C$3,-2),alles!$D$1:$AA$314,(MATCH(M56,alles!$C$1:$C$314,0)),0))</f>
        <v>0</v>
      </c>
      <c r="E56" s="98">
        <f>(HLOOKUP(CONCATENATE($E$3,-1),alles!$D$1:$AA$314,(MATCH(M56,alles!$C$1:$C$314,0)),0))</f>
        <v>0</v>
      </c>
      <c r="F56" s="117">
        <f>(HLOOKUP(CONCATENATE($E$3,-2),alles!$D$1:$AA$314,(MATCH(M56,alles!$C$1:$C$314,0)),0))</f>
        <v>0</v>
      </c>
      <c r="G56" s="98">
        <f>(HLOOKUP(CONCATENATE($G$3,-1),alles!$D$1:$AA$314,(MATCH(M56,alles!$C$1:$C$314,0)),0))</f>
        <v>0</v>
      </c>
      <c r="H56" s="117">
        <f>(HLOOKUP(CONCATENATE($G$3,-2),alles!$D$1:$AA$314,(MATCH(M56,alles!$C$1:$C$314,0)),0))</f>
        <v>0</v>
      </c>
      <c r="I56" s="98">
        <f>(HLOOKUP(CONCATENATE($I$3,-1),alles!$D$1:$AA$314,(MATCH(M56,alles!$C$1:$C$314,0)),0))</f>
        <v>0</v>
      </c>
      <c r="J56" s="117">
        <f>(HLOOKUP(CONCATENATE($I$3,-2),alles!$D$1:$AA$314,(MATCH(M56,alles!$C$1:$C$314,0)),0))</f>
        <v>0</v>
      </c>
      <c r="K56" s="73"/>
      <c r="M56" s="39" t="s">
        <v>473</v>
      </c>
    </row>
    <row r="57" spans="1:13" hidden="1" x14ac:dyDescent="0.15">
      <c r="A57" s="106"/>
      <c r="B57" s="107"/>
      <c r="C57" s="98">
        <f>(HLOOKUP(CONCATENATE($C$3,-1),alles!$D$1:$AA$314,(MATCH(M57,alles!$C$1:$C$314,0)),0))</f>
        <v>0</v>
      </c>
      <c r="D57" s="117">
        <f>(HLOOKUP(CONCATENATE($C$3,-2),alles!$D$1:$AA$314,(MATCH(M57,alles!$C$1:$C$314,0)),0))</f>
        <v>0</v>
      </c>
      <c r="E57" s="98">
        <f>(HLOOKUP(CONCATENATE($E$3,-1),alles!$D$1:$AA$314,(MATCH(M57,alles!$C$1:$C$314,0)),0))</f>
        <v>0</v>
      </c>
      <c r="F57" s="117">
        <f>(HLOOKUP(CONCATENATE($E$3,-2),alles!$D$1:$AA$314,(MATCH(M57,alles!$C$1:$C$314,0)),0))</f>
        <v>0</v>
      </c>
      <c r="G57" s="98">
        <f>(HLOOKUP(CONCATENATE($G$3,-1),alles!$D$1:$AA$314,(MATCH(M57,alles!$C$1:$C$314,0)),0))</f>
        <v>0</v>
      </c>
      <c r="H57" s="117">
        <f>(HLOOKUP(CONCATENATE($G$3,-2),alles!$D$1:$AA$314,(MATCH(M57,alles!$C$1:$C$314,0)),0))</f>
        <v>0</v>
      </c>
      <c r="I57" s="98">
        <f>(HLOOKUP(CONCATENATE($I$3,-1),alles!$D$1:$AA$314,(MATCH(M57,alles!$C$1:$C$314,0)),0))</f>
        <v>0</v>
      </c>
      <c r="J57" s="117">
        <f>(HLOOKUP(CONCATENATE($I$3,-2),alles!$D$1:$AA$314,(MATCH(M57,alles!$C$1:$C$314,0)),0))</f>
        <v>0</v>
      </c>
      <c r="K57" s="73"/>
      <c r="M57" s="39" t="s">
        <v>475</v>
      </c>
    </row>
    <row r="58" spans="1:13" hidden="1" x14ac:dyDescent="0.15">
      <c r="A58" s="106"/>
      <c r="B58" s="107"/>
      <c r="C58" s="98">
        <f>(HLOOKUP(CONCATENATE($C$3,-1),alles!$D$1:$AA$314,(MATCH(M58,alles!$C$1:$C$314,0)),0))</f>
        <v>0</v>
      </c>
      <c r="D58" s="117">
        <f>(HLOOKUP(CONCATENATE($C$3,-2),alles!$D$1:$AA$314,(MATCH(M58,alles!$C$1:$C$314,0)),0))</f>
        <v>0</v>
      </c>
      <c r="E58" s="98">
        <f>(HLOOKUP(CONCATENATE($E$3,-1),alles!$D$1:$AA$314,(MATCH(M58,alles!$C$1:$C$314,0)),0))</f>
        <v>0</v>
      </c>
      <c r="F58" s="117">
        <f>(HLOOKUP(CONCATENATE($E$3,-2),alles!$D$1:$AA$314,(MATCH(M58,alles!$C$1:$C$314,0)),0))</f>
        <v>0</v>
      </c>
      <c r="G58" s="98">
        <f>(HLOOKUP(CONCATENATE($G$3,-1),alles!$D$1:$AA$314,(MATCH(M58,alles!$C$1:$C$314,0)),0))</f>
        <v>0</v>
      </c>
      <c r="H58" s="117">
        <f>(HLOOKUP(CONCATENATE($G$3,-2),alles!$D$1:$AA$314,(MATCH(M58,alles!$C$1:$C$314,0)),0))</f>
        <v>0</v>
      </c>
      <c r="I58" s="98">
        <f>(HLOOKUP(CONCATENATE($I$3,-1),alles!$D$1:$AA$314,(MATCH(M58,alles!$C$1:$C$314,0)),0))</f>
        <v>0</v>
      </c>
      <c r="J58" s="117">
        <f>(HLOOKUP(CONCATENATE($I$3,-2),alles!$D$1:$AA$314,(MATCH(M58,alles!$C$1:$C$314,0)),0))</f>
        <v>0</v>
      </c>
      <c r="K58" s="73"/>
      <c r="M58" s="39" t="s">
        <v>476</v>
      </c>
    </row>
    <row r="59" spans="1:13" ht="24" x14ac:dyDescent="0.15">
      <c r="A59" s="111" t="s">
        <v>458</v>
      </c>
      <c r="B59" s="97" t="s">
        <v>31</v>
      </c>
      <c r="C59" s="98">
        <f>SUM(C60:C63)</f>
        <v>0</v>
      </c>
      <c r="D59" s="98">
        <f t="shared" ref="D59" si="19">SUM(D60:D63)</f>
        <v>0</v>
      </c>
      <c r="E59" s="98">
        <f t="shared" ref="E59" si="20">SUM(E60:E63)</f>
        <v>0</v>
      </c>
      <c r="F59" s="98">
        <f t="shared" ref="F59" si="21">SUM(F60:F63)</f>
        <v>0</v>
      </c>
      <c r="G59" s="98">
        <f t="shared" ref="G59" si="22">SUM(G60:G63)</f>
        <v>0</v>
      </c>
      <c r="H59" s="98">
        <f t="shared" ref="H59" si="23">SUM(H60:H63)</f>
        <v>0</v>
      </c>
      <c r="I59" s="98">
        <f t="shared" ref="I59" si="24">SUM(I60:I63)</f>
        <v>0</v>
      </c>
      <c r="J59" s="117">
        <f t="shared" ref="J59" si="25">SUM(J60:J63)</f>
        <v>0</v>
      </c>
      <c r="K59" s="73"/>
    </row>
    <row r="60" spans="1:13" hidden="1" x14ac:dyDescent="0.15">
      <c r="A60" s="106"/>
      <c r="B60" s="107"/>
      <c r="C60" s="98">
        <f>(HLOOKUP(CONCATENATE($C$3,-1),alles!$D$1:$AA$314,(MATCH(M60,alles!$C$1:$C$314,0)),0))</f>
        <v>0</v>
      </c>
      <c r="D60" s="117">
        <f>(HLOOKUP(CONCATENATE($C$3,-2),alles!$D$1:$AA$314,(MATCH(M60,alles!$C$1:$C$314,0)),0))</f>
        <v>0</v>
      </c>
      <c r="E60" s="98">
        <f>(HLOOKUP(CONCATENATE($E$3,-1),alles!$D$1:$AA$314,(MATCH(M60,alles!$C$1:$C$314,0)),0))</f>
        <v>0</v>
      </c>
      <c r="F60" s="117">
        <f>(HLOOKUP(CONCATENATE($E$3,-2),alles!$D$1:$AA$314,(MATCH(M60,alles!$C$1:$C$314,0)),0))</f>
        <v>0</v>
      </c>
      <c r="G60" s="98">
        <f>(HLOOKUP(CONCATENATE($G$3,-1),alles!$D$1:$AA$314,(MATCH(M60,alles!$C$1:$C$314,0)),0))</f>
        <v>0</v>
      </c>
      <c r="H60" s="117">
        <f>(HLOOKUP(CONCATENATE($G$3,-2),alles!$D$1:$AA$314,(MATCH(M60,alles!$C$1:$C$314,0)),0))</f>
        <v>0</v>
      </c>
      <c r="I60" s="98">
        <f>(HLOOKUP(CONCATENATE($I$3,-1),alles!$D$1:$AA$314,(MATCH(M60,alles!$C$1:$C$314,0)),0))</f>
        <v>0</v>
      </c>
      <c r="J60" s="117">
        <f>(HLOOKUP(CONCATENATE($I$3,-2),alles!$D$1:$AA$314,(MATCH(M60,alles!$C$1:$C$314,0)),0))</f>
        <v>0</v>
      </c>
      <c r="K60" s="73"/>
      <c r="M60" s="39" t="s">
        <v>479</v>
      </c>
    </row>
    <row r="61" spans="1:13" hidden="1" x14ac:dyDescent="0.15">
      <c r="A61" s="106"/>
      <c r="B61" s="107"/>
      <c r="C61" s="98">
        <f>(HLOOKUP(CONCATENATE($C$3,-1),alles!$D$1:$AA$314,(MATCH(M61,alles!$C$1:$C$314,0)),0))</f>
        <v>0</v>
      </c>
      <c r="D61" s="117">
        <f>(HLOOKUP(CONCATENATE($C$3,-2),alles!$D$1:$AA$314,(MATCH(M61,alles!$C$1:$C$314,0)),0))</f>
        <v>0</v>
      </c>
      <c r="E61" s="98">
        <f>(HLOOKUP(CONCATENATE($E$3,-1),alles!$D$1:$AA$314,(MATCH(M61,alles!$C$1:$C$314,0)),0))</f>
        <v>0</v>
      </c>
      <c r="F61" s="117">
        <f>(HLOOKUP(CONCATENATE($E$3,-2),alles!$D$1:$AA$314,(MATCH(M61,alles!$C$1:$C$314,0)),0))</f>
        <v>0</v>
      </c>
      <c r="G61" s="98">
        <f>(HLOOKUP(CONCATENATE($G$3,-1),alles!$D$1:$AA$314,(MATCH(M61,alles!$C$1:$C$314,0)),0))</f>
        <v>0</v>
      </c>
      <c r="H61" s="117">
        <f>(HLOOKUP(CONCATENATE($G$3,-2),alles!$D$1:$AA$314,(MATCH(M61,alles!$C$1:$C$314,0)),0))</f>
        <v>0</v>
      </c>
      <c r="I61" s="98">
        <f>(HLOOKUP(CONCATENATE($I$3,-1),alles!$D$1:$AA$314,(MATCH(M61,alles!$C$1:$C$314,0)),0))</f>
        <v>0</v>
      </c>
      <c r="J61" s="117">
        <f>(HLOOKUP(CONCATENATE($I$3,-2),alles!$D$1:$AA$314,(MATCH(M61,alles!$C$1:$C$314,0)),0))</f>
        <v>0</v>
      </c>
      <c r="K61" s="73"/>
      <c r="M61" s="39" t="s">
        <v>480</v>
      </c>
    </row>
    <row r="62" spans="1:13" hidden="1" x14ac:dyDescent="0.15">
      <c r="A62" s="106"/>
      <c r="B62" s="107"/>
      <c r="C62" s="98">
        <f>(HLOOKUP(CONCATENATE($C$3,-1),alles!$D$1:$AA$314,(MATCH(M62,alles!$C$1:$C$314,0)),0))</f>
        <v>0</v>
      </c>
      <c r="D62" s="117">
        <f>(HLOOKUP(CONCATENATE($C$3,-2),alles!$D$1:$AA$314,(MATCH(M62,alles!$C$1:$C$314,0)),0))</f>
        <v>0</v>
      </c>
      <c r="E62" s="98">
        <f>(HLOOKUP(CONCATENATE($E$3,-1),alles!$D$1:$AA$314,(MATCH(M62,alles!$C$1:$C$314,0)),0))</f>
        <v>0</v>
      </c>
      <c r="F62" s="117">
        <f>(HLOOKUP(CONCATENATE($E$3,-2),alles!$D$1:$AA$314,(MATCH(M62,alles!$C$1:$C$314,0)),0))</f>
        <v>0</v>
      </c>
      <c r="G62" s="98">
        <f>(HLOOKUP(CONCATENATE($G$3,-1),alles!$D$1:$AA$314,(MATCH(M62,alles!$C$1:$C$314,0)),0))</f>
        <v>0</v>
      </c>
      <c r="H62" s="117">
        <f>(HLOOKUP(CONCATENATE($G$3,-2),alles!$D$1:$AA$314,(MATCH(M62,alles!$C$1:$C$314,0)),0))</f>
        <v>0</v>
      </c>
      <c r="I62" s="98">
        <f>(HLOOKUP(CONCATENATE($I$3,-1),alles!$D$1:$AA$314,(MATCH(M62,alles!$C$1:$C$314,0)),0))</f>
        <v>0</v>
      </c>
      <c r="J62" s="117">
        <f>(HLOOKUP(CONCATENATE($I$3,-2),alles!$D$1:$AA$314,(MATCH(M62,alles!$C$1:$C$314,0)),0))</f>
        <v>0</v>
      </c>
      <c r="K62" s="73"/>
      <c r="M62" s="39" t="s">
        <v>481</v>
      </c>
    </row>
    <row r="63" spans="1:13" hidden="1" x14ac:dyDescent="0.15">
      <c r="A63" s="106"/>
      <c r="B63" s="107"/>
      <c r="C63" s="98">
        <f>(HLOOKUP(CONCATENATE($C$3,-1),alles!$D$1:$AA$314,(MATCH(M63,alles!$C$1:$C$314,0)),0))</f>
        <v>0</v>
      </c>
      <c r="D63" s="117">
        <f>(HLOOKUP(CONCATENATE($C$3,-2),alles!$D$1:$AA$314,(MATCH(M63,alles!$C$1:$C$314,0)),0))</f>
        <v>0</v>
      </c>
      <c r="E63" s="98">
        <f>(HLOOKUP(CONCATENATE($E$3,-1),alles!$D$1:$AA$314,(MATCH(M63,alles!$C$1:$C$314,0)),0))</f>
        <v>0</v>
      </c>
      <c r="F63" s="117">
        <f>(HLOOKUP(CONCATENATE($E$3,-2),alles!$D$1:$AA$314,(MATCH(M63,alles!$C$1:$C$314,0)),0))</f>
        <v>0</v>
      </c>
      <c r="G63" s="98">
        <f>(HLOOKUP(CONCATENATE($G$3,-1),alles!$D$1:$AA$314,(MATCH(M63,alles!$C$1:$C$314,0)),0))</f>
        <v>0</v>
      </c>
      <c r="H63" s="117">
        <f>(HLOOKUP(CONCATENATE($G$3,-2),alles!$D$1:$AA$314,(MATCH(M63,alles!$C$1:$C$314,0)),0))</f>
        <v>0</v>
      </c>
      <c r="I63" s="98">
        <f>(HLOOKUP(CONCATENATE($I$3,-1),alles!$D$1:$AA$314,(MATCH(M63,alles!$C$1:$C$314,0)),0))</f>
        <v>0</v>
      </c>
      <c r="J63" s="117">
        <f>(HLOOKUP(CONCATENATE($I$3,-2),alles!$D$1:$AA$314,(MATCH(M63,alles!$C$1:$C$314,0)),0))</f>
        <v>0</v>
      </c>
      <c r="K63" s="73"/>
      <c r="M63" s="39" t="s">
        <v>482</v>
      </c>
    </row>
    <row r="64" spans="1:13" ht="12" x14ac:dyDescent="0.15">
      <c r="A64" s="111" t="s">
        <v>446</v>
      </c>
      <c r="B64" s="97" t="s">
        <v>31</v>
      </c>
      <c r="C64" s="98">
        <f>SUM(C65:C68)</f>
        <v>0</v>
      </c>
      <c r="D64" s="98">
        <f t="shared" ref="D64:J64" si="26">SUM(D65:D68)</f>
        <v>0</v>
      </c>
      <c r="E64" s="98">
        <f t="shared" si="26"/>
        <v>0</v>
      </c>
      <c r="F64" s="98">
        <f t="shared" si="26"/>
        <v>0</v>
      </c>
      <c r="G64" s="98">
        <f t="shared" si="26"/>
        <v>0</v>
      </c>
      <c r="H64" s="98">
        <f t="shared" si="26"/>
        <v>0</v>
      </c>
      <c r="I64" s="98">
        <f t="shared" si="26"/>
        <v>0</v>
      </c>
      <c r="J64" s="117">
        <f t="shared" si="26"/>
        <v>0</v>
      </c>
      <c r="K64" s="73"/>
    </row>
    <row r="65" spans="1:13" hidden="1" x14ac:dyDescent="0.15">
      <c r="A65" s="106"/>
      <c r="B65" s="107"/>
      <c r="C65" s="94">
        <f>(HLOOKUP(CONCATENATE($C$3,-1),alles!$D$1:$AA$314,(MATCH(M65,alles!$C$1:$C$314,0)),0))</f>
        <v>0</v>
      </c>
      <c r="D65" s="95">
        <f>(HLOOKUP(CONCATENATE($C$3,-2),alles!$D$1:$AA$314,(MATCH(M65,alles!$C$1:$C$314,0)),0))</f>
        <v>0</v>
      </c>
      <c r="E65" s="94">
        <f>(HLOOKUP(CONCATENATE($E$3,-1),alles!$D$1:$AA$314,(MATCH(M65,alles!$C$1:$C$314,0)),0))</f>
        <v>0</v>
      </c>
      <c r="F65" s="95">
        <f>(HLOOKUP(CONCATENATE($E$3,-2),alles!$D$1:$AA$314,(MATCH(M65,alles!$C$1:$C$314,0)),0))</f>
        <v>0</v>
      </c>
      <c r="G65" s="94">
        <f>(HLOOKUP(CONCATENATE($G$3,-1),alles!$D$1:$AA$314,(MATCH(M65,alles!$C$1:$C$314,0)),0))</f>
        <v>0</v>
      </c>
      <c r="H65" s="95">
        <f>(HLOOKUP(CONCATENATE($G$3,-2),alles!$D$1:$AA$314,(MATCH(M65,alles!$C$1:$C$314,0)),0))</f>
        <v>0</v>
      </c>
      <c r="I65" s="94">
        <f>(HLOOKUP(CONCATENATE($I$3,-1),alles!$D$1:$AA$314,(MATCH(M65,alles!$C$1:$C$314,0)),0))</f>
        <v>0</v>
      </c>
      <c r="J65" s="95">
        <f>(HLOOKUP(CONCATENATE($I$3,-2),alles!$D$1:$AA$314,(MATCH(M65,alles!$C$1:$C$314,0)),0))</f>
        <v>0</v>
      </c>
      <c r="K65" s="73"/>
      <c r="M65" s="39" t="s">
        <v>484</v>
      </c>
    </row>
    <row r="66" spans="1:13" hidden="1" x14ac:dyDescent="0.15">
      <c r="A66" s="106"/>
      <c r="B66" s="107"/>
      <c r="C66" s="94">
        <f>(HLOOKUP(CONCATENATE($C$3,-1),alles!$D$1:$AA$314,(MATCH(M66,alles!$C$1:$C$314,0)),0))</f>
        <v>0</v>
      </c>
      <c r="D66" s="95">
        <f>(HLOOKUP(CONCATENATE($C$3,-2),alles!$D$1:$AA$314,(MATCH(M66,alles!$C$1:$C$314,0)),0))</f>
        <v>0</v>
      </c>
      <c r="E66" s="94">
        <f>(HLOOKUP(CONCATENATE($E$3,-1),alles!$D$1:$AA$314,(MATCH(M66,alles!$C$1:$C$314,0)),0))</f>
        <v>0</v>
      </c>
      <c r="F66" s="95">
        <f>(HLOOKUP(CONCATENATE($E$3,-2),alles!$D$1:$AA$314,(MATCH(M66,alles!$C$1:$C$314,0)),0))</f>
        <v>0</v>
      </c>
      <c r="G66" s="94">
        <f>(HLOOKUP(CONCATENATE($G$3,-1),alles!$D$1:$AA$314,(MATCH(M66,alles!$C$1:$C$314,0)),0))</f>
        <v>0</v>
      </c>
      <c r="H66" s="95">
        <f>(HLOOKUP(CONCATENATE($G$3,-2),alles!$D$1:$AA$314,(MATCH(M66,alles!$C$1:$C$314,0)),0))</f>
        <v>0</v>
      </c>
      <c r="I66" s="94">
        <f>(HLOOKUP(CONCATENATE($I$3,-1),alles!$D$1:$AA$314,(MATCH(M66,alles!$C$1:$C$314,0)),0))</f>
        <v>0</v>
      </c>
      <c r="J66" s="95">
        <f>(HLOOKUP(CONCATENATE($I$3,-2),alles!$D$1:$AA$314,(MATCH(M66,alles!$C$1:$C$314,0)),0))</f>
        <v>0</v>
      </c>
      <c r="K66" s="73"/>
      <c r="M66" s="39" t="s">
        <v>485</v>
      </c>
    </row>
    <row r="67" spans="1:13" hidden="1" x14ac:dyDescent="0.15">
      <c r="A67" s="106"/>
      <c r="B67" s="107"/>
      <c r="C67" s="94">
        <f>(HLOOKUP(CONCATENATE($C$3,-1),alles!$D$1:$AA$314,(MATCH(M67,alles!$C$1:$C$314,0)),0))</f>
        <v>0</v>
      </c>
      <c r="D67" s="95">
        <f>(HLOOKUP(CONCATENATE($C$3,-2),alles!$D$1:$AA$314,(MATCH(M67,alles!$C$1:$C$314,0)),0))</f>
        <v>0</v>
      </c>
      <c r="E67" s="94">
        <f>(HLOOKUP(CONCATENATE($E$3,-1),alles!$D$1:$AA$314,(MATCH(M67,alles!$C$1:$C$314,0)),0))</f>
        <v>0</v>
      </c>
      <c r="F67" s="95">
        <f>(HLOOKUP(CONCATENATE($E$3,-2),alles!$D$1:$AA$314,(MATCH(M67,alles!$C$1:$C$314,0)),0))</f>
        <v>0</v>
      </c>
      <c r="G67" s="94">
        <f>(HLOOKUP(CONCATENATE($G$3,-1),alles!$D$1:$AA$314,(MATCH(M67,alles!$C$1:$C$314,0)),0))</f>
        <v>0</v>
      </c>
      <c r="H67" s="95">
        <f>(HLOOKUP(CONCATENATE($G$3,-2),alles!$D$1:$AA$314,(MATCH(M67,alles!$C$1:$C$314,0)),0))</f>
        <v>0</v>
      </c>
      <c r="I67" s="94">
        <f>(HLOOKUP(CONCATENATE($I$3,-1),alles!$D$1:$AA$314,(MATCH(M67,alles!$C$1:$C$314,0)),0))</f>
        <v>0</v>
      </c>
      <c r="J67" s="95">
        <f>(HLOOKUP(CONCATENATE($I$3,-2),alles!$D$1:$AA$314,(MATCH(M67,alles!$C$1:$C$314,0)),0))</f>
        <v>0</v>
      </c>
      <c r="K67" s="73"/>
      <c r="M67" s="39" t="s">
        <v>486</v>
      </c>
    </row>
    <row r="68" spans="1:13" hidden="1" x14ac:dyDescent="0.15">
      <c r="A68" s="106"/>
      <c r="B68" s="107"/>
      <c r="C68" s="94">
        <f>(HLOOKUP(CONCATENATE($C$3,-1),alles!$D$1:$AA$314,(MATCH(M68,alles!$C$1:$C$314,0)),0))</f>
        <v>0</v>
      </c>
      <c r="D68" s="95">
        <f>(HLOOKUP(CONCATENATE($C$3,-2),alles!$D$1:$AA$314,(MATCH(M68,alles!$C$1:$C$314,0)),0))</f>
        <v>0</v>
      </c>
      <c r="E68" s="94">
        <f>(HLOOKUP(CONCATENATE($E$3,-1),alles!$D$1:$AA$314,(MATCH(M68,alles!$C$1:$C$314,0)),0))</f>
        <v>0</v>
      </c>
      <c r="F68" s="95">
        <f>(HLOOKUP(CONCATENATE($E$3,-2),alles!$D$1:$AA$314,(MATCH(M68,alles!$C$1:$C$314,0)),0))</f>
        <v>0</v>
      </c>
      <c r="G68" s="94">
        <f>(HLOOKUP(CONCATENATE($G$3,-1),alles!$D$1:$AA$314,(MATCH(M68,alles!$C$1:$C$314,0)),0))</f>
        <v>0</v>
      </c>
      <c r="H68" s="95">
        <f>(HLOOKUP(CONCATENATE($G$3,-2),alles!$D$1:$AA$314,(MATCH(M68,alles!$C$1:$C$314,0)),0))</f>
        <v>0</v>
      </c>
      <c r="I68" s="94">
        <f>(HLOOKUP(CONCATENATE($I$3,-1),alles!$D$1:$AA$314,(MATCH(M68,alles!$C$1:$C$314,0)),0))</f>
        <v>0</v>
      </c>
      <c r="J68" s="95">
        <f>(HLOOKUP(CONCATENATE($I$3,-2),alles!$D$1:$AA$314,(MATCH(M68,alles!$C$1:$C$314,0)),0))</f>
        <v>0</v>
      </c>
      <c r="K68" s="73"/>
      <c r="M68" s="39" t="s">
        <v>487</v>
      </c>
    </row>
    <row r="69" spans="1:13" x14ac:dyDescent="0.15">
      <c r="A69" s="96" t="s">
        <v>445</v>
      </c>
      <c r="B69" s="99" t="s">
        <v>31</v>
      </c>
      <c r="C69" s="110">
        <f t="shared" ref="C69:G69" si="27">SUM(C70:C104)</f>
        <v>32951</v>
      </c>
      <c r="D69" s="117">
        <f t="shared" si="27"/>
        <v>30710.69</v>
      </c>
      <c r="E69" s="98">
        <f t="shared" si="27"/>
        <v>40249.040000000001</v>
      </c>
      <c r="F69" s="117">
        <f t="shared" si="27"/>
        <v>0</v>
      </c>
      <c r="G69" s="110">
        <f t="shared" si="27"/>
        <v>36548.855000000003</v>
      </c>
      <c r="H69" s="117">
        <f>SUM(H70:H104)</f>
        <v>37903.72</v>
      </c>
      <c r="I69" s="98">
        <f t="shared" ref="I69:J69" si="28">SUM(I70:I104)</f>
        <v>40817.86</v>
      </c>
      <c r="J69" s="117">
        <f t="shared" si="28"/>
        <v>41705.019999999997</v>
      </c>
      <c r="K69" s="119" t="s">
        <v>25</v>
      </c>
    </row>
    <row r="70" spans="1:13" hidden="1" x14ac:dyDescent="0.15">
      <c r="A70" s="735" t="s">
        <v>143</v>
      </c>
      <c r="B70" s="736"/>
      <c r="C70" s="86">
        <f>(HLOOKUP(CONCATENATE($C$3,-1),alles!$D$1:$AA$314,(MATCH(M70,alles!$C$1:$C$314,0)),0))</f>
        <v>0</v>
      </c>
      <c r="D70" s="87">
        <f>(HLOOKUP(CONCATENATE($C$3,-2),alles!$D$1:$AA$314,(MATCH(M70,alles!$C$1:$C$314,0)),0))</f>
        <v>0</v>
      </c>
      <c r="E70" s="86">
        <f>(HLOOKUP(CONCATENATE($E$3,-1),alles!$D$1:$AA$314,(MATCH(M70,alles!$C$1:$C$314,0)),0))</f>
        <v>0</v>
      </c>
      <c r="F70" s="87">
        <f>(HLOOKUP(CONCATENATE($E$3,-2),alles!$D$1:$AA$314,(MATCH(M70,alles!$C$1:$C$314,0)),0))</f>
        <v>0</v>
      </c>
      <c r="G70" s="86">
        <f>(HLOOKUP(CONCATENATE($G$3,-1),alles!$D$1:$AA$314,(MATCH(M70,alles!$C$1:$C$314,0)),0))</f>
        <v>0</v>
      </c>
      <c r="H70" s="87">
        <f>(HLOOKUP(CONCATENATE($G$3,-2),alles!$D$1:$AA$314,(MATCH(M70,alles!$C$1:$C$314,0)),0))</f>
        <v>0</v>
      </c>
      <c r="I70" s="86">
        <f>(HLOOKUP(CONCATENATE($I$3,-1),alles!$D$1:$AA$314,(MATCH(M70,alles!$C$1:$C$314,0)),0))</f>
        <v>0</v>
      </c>
      <c r="J70" s="87">
        <f>(HLOOKUP(CONCATENATE($I$3,-2),alles!$D$1:$AA$314,(MATCH(M70,alles!$C$1:$C$314,0)),0))</f>
        <v>0</v>
      </c>
      <c r="K70" s="102" t="s">
        <v>25</v>
      </c>
      <c r="M70" s="39" t="s">
        <v>355</v>
      </c>
    </row>
    <row r="71" spans="1:13" hidden="1" x14ac:dyDescent="0.15">
      <c r="A71" s="737" t="s">
        <v>144</v>
      </c>
      <c r="B71" s="738"/>
      <c r="C71" s="86">
        <f>(HLOOKUP(CONCATENATE($C$3,-1),alles!$D$1:$AA$314,(MATCH(M71,alles!$C$1:$C$314,0)),0))</f>
        <v>0</v>
      </c>
      <c r="D71" s="87">
        <f>(HLOOKUP(CONCATENATE($C$3,-2),alles!$D$1:$AA$314,(MATCH(M71,alles!$C$1:$C$314,0)),0))</f>
        <v>0</v>
      </c>
      <c r="E71" s="86">
        <f>(HLOOKUP(CONCATENATE($E$3,-1),alles!$D$1:$AA$314,(MATCH(M71,alles!$C$1:$C$314,0)),0))</f>
        <v>0</v>
      </c>
      <c r="F71" s="87">
        <f>(HLOOKUP(CONCATENATE($E$3,-2),alles!$D$1:$AA$314,(MATCH(M71,alles!$C$1:$C$314,0)),0))</f>
        <v>0</v>
      </c>
      <c r="G71" s="86">
        <f>(HLOOKUP(CONCATENATE($G$3,-1),alles!$D$1:$AA$314,(MATCH(M71,alles!$C$1:$C$314,0)),0))</f>
        <v>0</v>
      </c>
      <c r="H71" s="87">
        <f>(HLOOKUP(CONCATENATE($G$3,-2),alles!$D$1:$AA$314,(MATCH(M71,alles!$C$1:$C$314,0)),0))</f>
        <v>0</v>
      </c>
      <c r="I71" s="86">
        <f>(HLOOKUP(CONCATENATE($I$3,-1),alles!$D$1:$AA$314,(MATCH(M71,alles!$C$1:$C$314,0)),0))</f>
        <v>0</v>
      </c>
      <c r="J71" s="87">
        <f>(HLOOKUP(CONCATENATE($I$3,-2),alles!$D$1:$AA$314,(MATCH(M71,alles!$C$1:$C$314,0)),0))</f>
        <v>0</v>
      </c>
      <c r="K71" s="102" t="s">
        <v>25</v>
      </c>
      <c r="M71" s="39" t="s">
        <v>356</v>
      </c>
    </row>
    <row r="72" spans="1:13" x14ac:dyDescent="0.15">
      <c r="A72" s="737" t="s">
        <v>145</v>
      </c>
      <c r="B72" s="738"/>
      <c r="C72" s="86">
        <f>(HLOOKUP(CONCATENATE($C$3,-1),alles!$D$1:$AA$314,(MATCH(M72,alles!$C$1:$C$314,0)),0))</f>
        <v>377</v>
      </c>
      <c r="D72" s="87">
        <f>(HLOOKUP(CONCATENATE($C$3,-2),alles!$D$1:$AA$314,(MATCH(M72,alles!$C$1:$C$314,0)),0))</f>
        <v>483.56</v>
      </c>
      <c r="E72" s="86">
        <f>(HLOOKUP(CONCATENATE($E$3,-1),alles!$D$1:$AA$314,(MATCH(M72,alles!$C$1:$C$314,0)),0))</f>
        <v>57.64</v>
      </c>
      <c r="F72" s="87">
        <f>(HLOOKUP(CONCATENATE($E$3,-2),alles!$D$1:$AA$314,(MATCH(M72,alles!$C$1:$C$314,0)),0))</f>
        <v>0</v>
      </c>
      <c r="G72" s="86">
        <f>(HLOOKUP(CONCATENATE($G$3,-1),alles!$D$1:$AA$314,(MATCH(M72,alles!$C$1:$C$314,0)),0))</f>
        <v>79.66</v>
      </c>
      <c r="H72" s="87">
        <f>(HLOOKUP(CONCATENATE($G$3,-2),alles!$D$1:$AA$314,(MATCH(M72,alles!$C$1:$C$314,0)),0))</f>
        <v>90.92</v>
      </c>
      <c r="I72" s="86">
        <f>(HLOOKUP(CONCATENATE($I$3,-1),alles!$D$1:$AA$314,(MATCH(M72,alles!$C$1:$C$314,0)),0))</f>
        <v>77.959999999999994</v>
      </c>
      <c r="J72" s="87">
        <f>(HLOOKUP(CONCATENATE($I$3,-2),alles!$D$1:$AA$314,(MATCH(M72,alles!$C$1:$C$314,0)),0))</f>
        <v>120.23</v>
      </c>
      <c r="K72" s="102" t="s">
        <v>25</v>
      </c>
      <c r="M72" s="39" t="s">
        <v>357</v>
      </c>
    </row>
    <row r="73" spans="1:13" hidden="1" x14ac:dyDescent="0.15">
      <c r="A73" s="737" t="s">
        <v>188</v>
      </c>
      <c r="B73" s="738"/>
      <c r="C73" s="86">
        <f>(HLOOKUP(CONCATENATE($C$3,-1),alles!$D$1:$AA$314,(MATCH(M73,alles!$C$1:$C$314,0)),0))</f>
        <v>0</v>
      </c>
      <c r="D73" s="87">
        <f>(HLOOKUP(CONCATENATE($C$3,-2),alles!$D$1:$AA$314,(MATCH(M73,alles!$C$1:$C$314,0)),0))</f>
        <v>0</v>
      </c>
      <c r="E73" s="86">
        <f>(HLOOKUP(CONCATENATE($E$3,-1),alles!$D$1:$AA$314,(MATCH(M73,alles!$C$1:$C$314,0)),0))</f>
        <v>0</v>
      </c>
      <c r="F73" s="87">
        <f>(HLOOKUP(CONCATENATE($E$3,-2),alles!$D$1:$AA$314,(MATCH(M73,alles!$C$1:$C$314,0)),0))</f>
        <v>0</v>
      </c>
      <c r="G73" s="86">
        <f>(HLOOKUP(CONCATENATE($G$3,-1),alles!$D$1:$AA$314,(MATCH(M73,alles!$C$1:$C$314,0)),0))</f>
        <v>0</v>
      </c>
      <c r="H73" s="87">
        <f>(HLOOKUP(CONCATENATE($G$3,-2),alles!$D$1:$AA$314,(MATCH(M73,alles!$C$1:$C$314,0)),0))</f>
        <v>0</v>
      </c>
      <c r="I73" s="86">
        <f>(HLOOKUP(CONCATENATE($I$3,-1),alles!$D$1:$AA$314,(MATCH(M73,alles!$C$1:$C$314,0)),0))</f>
        <v>0</v>
      </c>
      <c r="J73" s="87">
        <f>(HLOOKUP(CONCATENATE($I$3,-2),alles!$D$1:$AA$314,(MATCH(M73,alles!$C$1:$C$314,0)),0))</f>
        <v>0</v>
      </c>
      <c r="K73" s="102" t="s">
        <v>25</v>
      </c>
      <c r="M73" s="39" t="s">
        <v>358</v>
      </c>
    </row>
    <row r="74" spans="1:13" hidden="1" x14ac:dyDescent="0.15">
      <c r="A74" s="737" t="s">
        <v>146</v>
      </c>
      <c r="B74" s="738"/>
      <c r="C74" s="86">
        <f>(HLOOKUP(CONCATENATE($C$3,-1),alles!$D$1:$AA$314,(MATCH(M74,alles!$C$1:$C$314,0)),0))</f>
        <v>0</v>
      </c>
      <c r="D74" s="87">
        <f>(HLOOKUP(CONCATENATE($C$3,-2),alles!$D$1:$AA$314,(MATCH(M74,alles!$C$1:$C$314,0)),0))</f>
        <v>0</v>
      </c>
      <c r="E74" s="86">
        <f>(HLOOKUP(CONCATENATE($E$3,-1),alles!$D$1:$AA$314,(MATCH(M74,alles!$C$1:$C$314,0)),0))</f>
        <v>0</v>
      </c>
      <c r="F74" s="87">
        <f>(HLOOKUP(CONCATENATE($E$3,-2),alles!$D$1:$AA$314,(MATCH(M74,alles!$C$1:$C$314,0)),0))</f>
        <v>0</v>
      </c>
      <c r="G74" s="86">
        <f>(HLOOKUP(CONCATENATE($G$3,-1),alles!$D$1:$AA$314,(MATCH(M74,alles!$C$1:$C$314,0)),0))</f>
        <v>0</v>
      </c>
      <c r="H74" s="87">
        <f>(HLOOKUP(CONCATENATE($G$3,-2),alles!$D$1:$AA$314,(MATCH(M74,alles!$C$1:$C$314,0)),0))</f>
        <v>0</v>
      </c>
      <c r="I74" s="86">
        <f>(HLOOKUP(CONCATENATE($I$3,-1),alles!$D$1:$AA$314,(MATCH(M74,alles!$C$1:$C$314,0)),0))</f>
        <v>0</v>
      </c>
      <c r="J74" s="87">
        <f>(HLOOKUP(CONCATENATE($I$3,-2),alles!$D$1:$AA$314,(MATCH(M74,alles!$C$1:$C$314,0)),0))</f>
        <v>0</v>
      </c>
      <c r="K74" s="102" t="s">
        <v>25</v>
      </c>
      <c r="M74" s="39" t="s">
        <v>359</v>
      </c>
    </row>
    <row r="75" spans="1:13" hidden="1" x14ac:dyDescent="0.15">
      <c r="A75" s="737" t="s">
        <v>147</v>
      </c>
      <c r="B75" s="738"/>
      <c r="C75" s="86">
        <f>(HLOOKUP(CONCATENATE($C$3,-1),alles!$D$1:$AA$314,(MATCH(M75,alles!$C$1:$C$314,0)),0))</f>
        <v>0</v>
      </c>
      <c r="D75" s="87">
        <f>(HLOOKUP(CONCATENATE($C$3,-2),alles!$D$1:$AA$314,(MATCH(M75,alles!$C$1:$C$314,0)),0))</f>
        <v>0</v>
      </c>
      <c r="E75" s="86">
        <f>(HLOOKUP(CONCATENATE($E$3,-1),alles!$D$1:$AA$314,(MATCH(M75,alles!$C$1:$C$314,0)),0))</f>
        <v>0</v>
      </c>
      <c r="F75" s="87">
        <f>(HLOOKUP(CONCATENATE($E$3,-2),alles!$D$1:$AA$314,(MATCH(M75,alles!$C$1:$C$314,0)),0))</f>
        <v>0</v>
      </c>
      <c r="G75" s="86">
        <f>(HLOOKUP(CONCATENATE($G$3,-1),alles!$D$1:$AA$314,(MATCH(M75,alles!$C$1:$C$314,0)),0))</f>
        <v>0</v>
      </c>
      <c r="H75" s="87">
        <f>(HLOOKUP(CONCATENATE($G$3,-2),alles!$D$1:$AA$314,(MATCH(M75,alles!$C$1:$C$314,0)),0))</f>
        <v>0</v>
      </c>
      <c r="I75" s="86">
        <f>(HLOOKUP(CONCATENATE($I$3,-1),alles!$D$1:$AA$314,(MATCH(M75,alles!$C$1:$C$314,0)),0))</f>
        <v>0</v>
      </c>
      <c r="J75" s="87">
        <f>(HLOOKUP(CONCATENATE($I$3,-2),alles!$D$1:$AA$314,(MATCH(M75,alles!$C$1:$C$314,0)),0))</f>
        <v>0</v>
      </c>
      <c r="K75" s="102" t="s">
        <v>25</v>
      </c>
      <c r="M75" s="39" t="s">
        <v>360</v>
      </c>
    </row>
    <row r="76" spans="1:13" hidden="1" x14ac:dyDescent="0.15">
      <c r="A76" s="737" t="s">
        <v>148</v>
      </c>
      <c r="B76" s="738"/>
      <c r="C76" s="86">
        <f>(HLOOKUP(CONCATENATE($C$3,-1),alles!$D$1:$AA$314,(MATCH(M76,alles!$C$1:$C$314,0)),0))</f>
        <v>0</v>
      </c>
      <c r="D76" s="87">
        <f>(HLOOKUP(CONCATENATE($C$3,-2),alles!$D$1:$AA$314,(MATCH(M76,alles!$C$1:$C$314,0)),0))</f>
        <v>0</v>
      </c>
      <c r="E76" s="86">
        <f>(HLOOKUP(CONCATENATE($E$3,-1),alles!$D$1:$AA$314,(MATCH(M76,alles!$C$1:$C$314,0)),0))</f>
        <v>0</v>
      </c>
      <c r="F76" s="87">
        <f>(HLOOKUP(CONCATENATE($E$3,-2),alles!$D$1:$AA$314,(MATCH(M76,alles!$C$1:$C$314,0)),0))</f>
        <v>0</v>
      </c>
      <c r="G76" s="86">
        <f>(HLOOKUP(CONCATENATE($G$3,-1),alles!$D$1:$AA$314,(MATCH(M76,alles!$C$1:$C$314,0)),0))</f>
        <v>0</v>
      </c>
      <c r="H76" s="87">
        <f>(HLOOKUP(CONCATENATE($G$3,-2),alles!$D$1:$AA$314,(MATCH(M76,alles!$C$1:$C$314,0)),0))</f>
        <v>0</v>
      </c>
      <c r="I76" s="86">
        <f>(HLOOKUP(CONCATENATE($I$3,-1),alles!$D$1:$AA$314,(MATCH(M76,alles!$C$1:$C$314,0)),0))</f>
        <v>0</v>
      </c>
      <c r="J76" s="87">
        <f>(HLOOKUP(CONCATENATE($I$3,-2),alles!$D$1:$AA$314,(MATCH(M76,alles!$C$1:$C$314,0)),0))</f>
        <v>0</v>
      </c>
      <c r="K76" s="102" t="s">
        <v>25</v>
      </c>
      <c r="M76" s="39" t="s">
        <v>361</v>
      </c>
    </row>
    <row r="77" spans="1:13" hidden="1" x14ac:dyDescent="0.15">
      <c r="A77" s="737" t="s">
        <v>149</v>
      </c>
      <c r="B77" s="738"/>
      <c r="C77" s="86">
        <f>(HLOOKUP(CONCATENATE($C$3,-1),alles!$D$1:$AA$314,(MATCH(M77,alles!$C$1:$C$314,0)),0))</f>
        <v>0</v>
      </c>
      <c r="D77" s="87">
        <f>(HLOOKUP(CONCATENATE($C$3,-2),alles!$D$1:$AA$314,(MATCH(M77,alles!$C$1:$C$314,0)),0))</f>
        <v>0</v>
      </c>
      <c r="E77" s="86">
        <f>(HLOOKUP(CONCATENATE($E$3,-1),alles!$D$1:$AA$314,(MATCH(M77,alles!$C$1:$C$314,0)),0))</f>
        <v>0</v>
      </c>
      <c r="F77" s="87">
        <f>(HLOOKUP(CONCATENATE($E$3,-2),alles!$D$1:$AA$314,(MATCH(M77,alles!$C$1:$C$314,0)),0))</f>
        <v>0</v>
      </c>
      <c r="G77" s="86">
        <f>(HLOOKUP(CONCATENATE($G$3,-1),alles!$D$1:$AA$314,(MATCH(M77,alles!$C$1:$C$314,0)),0))</f>
        <v>0</v>
      </c>
      <c r="H77" s="87">
        <f>(HLOOKUP(CONCATENATE($G$3,-2),alles!$D$1:$AA$314,(MATCH(M77,alles!$C$1:$C$314,0)),0))</f>
        <v>0</v>
      </c>
      <c r="I77" s="86">
        <f>(HLOOKUP(CONCATENATE($I$3,-1),alles!$D$1:$AA$314,(MATCH(M77,alles!$C$1:$C$314,0)),0))</f>
        <v>0</v>
      </c>
      <c r="J77" s="87">
        <f>(HLOOKUP(CONCATENATE($I$3,-2),alles!$D$1:$AA$314,(MATCH(M77,alles!$C$1:$C$314,0)),0))</f>
        <v>0</v>
      </c>
      <c r="K77" s="102" t="s">
        <v>25</v>
      </c>
      <c r="M77" s="39" t="s">
        <v>362</v>
      </c>
    </row>
    <row r="78" spans="1:13" x14ac:dyDescent="0.15">
      <c r="A78" s="737" t="s">
        <v>150</v>
      </c>
      <c r="B78" s="738"/>
      <c r="C78" s="86">
        <f>(HLOOKUP(CONCATENATE($C$3,-1),alles!$D$1:$AA$314,(MATCH(M78,alles!$C$1:$C$314,0)),0))</f>
        <v>2293</v>
      </c>
      <c r="D78" s="87">
        <f>(HLOOKUP(CONCATENATE($C$3,-2),alles!$D$1:$AA$314,(MATCH(M78,alles!$C$1:$C$314,0)),0))</f>
        <v>2947.78</v>
      </c>
      <c r="E78" s="86">
        <f>(HLOOKUP(CONCATENATE($E$3,-1),alles!$D$1:$AA$314,(MATCH(M78,alles!$C$1:$C$314,0)),0))</f>
        <v>3139.78</v>
      </c>
      <c r="F78" s="87">
        <f>(HLOOKUP(CONCATENATE($E$3,-2),alles!$D$1:$AA$314,(MATCH(M78,alles!$C$1:$C$314,0)),0))</f>
        <v>0</v>
      </c>
      <c r="G78" s="86">
        <f>(HLOOKUP(CONCATENATE($G$3,-1),alles!$D$1:$AA$314,(MATCH(M78,alles!$C$1:$C$314,0)),0))</f>
        <v>3836.37</v>
      </c>
      <c r="H78" s="87">
        <f>(HLOOKUP(CONCATENATE($G$3,-2),alles!$D$1:$AA$314,(MATCH(M78,alles!$C$1:$C$314,0)),0))</f>
        <v>4304.33</v>
      </c>
      <c r="I78" s="86">
        <f>(HLOOKUP(CONCATENATE($I$3,-1),alles!$D$1:$AA$314,(MATCH(M78,alles!$C$1:$C$314,0)),0))</f>
        <v>5114.49</v>
      </c>
      <c r="J78" s="87">
        <f>(HLOOKUP(CONCATENATE($I$3,-2),alles!$D$1:$AA$314,(MATCH(M78,alles!$C$1:$C$314,0)),0))</f>
        <v>6270.94</v>
      </c>
      <c r="K78" s="102" t="s">
        <v>25</v>
      </c>
      <c r="M78" s="39" t="s">
        <v>363</v>
      </c>
    </row>
    <row r="79" spans="1:13" x14ac:dyDescent="0.15">
      <c r="A79" s="737" t="s">
        <v>151</v>
      </c>
      <c r="B79" s="738"/>
      <c r="C79" s="86">
        <f>(HLOOKUP(CONCATENATE($C$3,-1),alles!$D$1:$AA$314,(MATCH(M79,alles!$C$1:$C$314,0)),0))</f>
        <v>2134</v>
      </c>
      <c r="D79" s="87">
        <f>(HLOOKUP(CONCATENATE($C$3,-2),alles!$D$1:$AA$314,(MATCH(M79,alles!$C$1:$C$314,0)),0))</f>
        <v>2335.42</v>
      </c>
      <c r="E79" s="86">
        <f>(HLOOKUP(CONCATENATE($E$3,-1),alles!$D$1:$AA$314,(MATCH(M79,alles!$C$1:$C$314,0)),0))</f>
        <v>2902.83</v>
      </c>
      <c r="F79" s="87">
        <f>(HLOOKUP(CONCATENATE($E$3,-2),alles!$D$1:$AA$314,(MATCH(M79,alles!$C$1:$C$314,0)),0))</f>
        <v>0</v>
      </c>
      <c r="G79" s="86">
        <f>(HLOOKUP(CONCATENATE($G$3,-1),alles!$D$1:$AA$314,(MATCH(M79,alles!$C$1:$C$314,0)),0))</f>
        <v>3050.9349999999999</v>
      </c>
      <c r="H79" s="87">
        <f>(HLOOKUP(CONCATENATE($G$3,-2),alles!$D$1:$AA$314,(MATCH(M79,alles!$C$1:$C$314,0)),0))</f>
        <v>3207.4</v>
      </c>
      <c r="I79" s="86">
        <f>(HLOOKUP(CONCATENATE($I$3,-1),alles!$D$1:$AA$314,(MATCH(M79,alles!$C$1:$C$314,0)),0))</f>
        <v>2465.0500000000002</v>
      </c>
      <c r="J79" s="87">
        <f>(HLOOKUP(CONCATENATE($I$3,-2),alles!$D$1:$AA$314,(MATCH(M79,alles!$C$1:$C$314,0)),0))</f>
        <v>2755.27</v>
      </c>
      <c r="K79" s="102" t="s">
        <v>25</v>
      </c>
      <c r="M79" s="39" t="s">
        <v>364</v>
      </c>
    </row>
    <row r="80" spans="1:13" x14ac:dyDescent="0.15">
      <c r="A80" s="737" t="s">
        <v>152</v>
      </c>
      <c r="B80" s="738"/>
      <c r="C80" s="86">
        <f>(HLOOKUP(CONCATENATE($C$3,-1),alles!$D$1:$AA$314,(MATCH(M80,alles!$C$1:$C$314,0)),0))</f>
        <v>7121</v>
      </c>
      <c r="D80" s="87">
        <f>(HLOOKUP(CONCATENATE($C$3,-2),alles!$D$1:$AA$314,(MATCH(M80,alles!$C$1:$C$314,0)),0))</f>
        <v>7471.24</v>
      </c>
      <c r="E80" s="86">
        <f>(HLOOKUP(CONCATENATE($E$3,-1),alles!$D$1:$AA$314,(MATCH(M80,alles!$C$1:$C$314,0)),0))</f>
        <v>11304.41</v>
      </c>
      <c r="F80" s="87">
        <f>(HLOOKUP(CONCATENATE($E$3,-2),alles!$D$1:$AA$314,(MATCH(M80,alles!$C$1:$C$314,0)),0))</f>
        <v>0</v>
      </c>
      <c r="G80" s="86">
        <f>(HLOOKUP(CONCATENATE($G$3,-1),alles!$D$1:$AA$314,(MATCH(M80,alles!$C$1:$C$314,0)),0))</f>
        <v>12109.05</v>
      </c>
      <c r="H80" s="87">
        <f>(HLOOKUP(CONCATENATE($G$3,-2),alles!$D$1:$AA$314,(MATCH(M80,alles!$C$1:$C$314,0)),0))</f>
        <v>12101.74</v>
      </c>
      <c r="I80" s="86">
        <f>(HLOOKUP(CONCATENATE($I$3,-1),alles!$D$1:$AA$314,(MATCH(M80,alles!$C$1:$C$314,0)),0))</f>
        <v>12747.83</v>
      </c>
      <c r="J80" s="87">
        <f>(HLOOKUP(CONCATENATE($I$3,-2),alles!$D$1:$AA$314,(MATCH(M80,alles!$C$1:$C$314,0)),0))</f>
        <v>13009.31</v>
      </c>
      <c r="K80" s="102" t="s">
        <v>25</v>
      </c>
      <c r="M80" s="39" t="s">
        <v>275</v>
      </c>
    </row>
    <row r="81" spans="1:13" hidden="1" x14ac:dyDescent="0.15">
      <c r="A81" s="737" t="s">
        <v>153</v>
      </c>
      <c r="B81" s="738"/>
      <c r="C81" s="86">
        <f>(HLOOKUP(CONCATENATE($C$3,-1),alles!$D$1:$AA$314,(MATCH(M81,alles!$C$1:$C$314,0)),0))</f>
        <v>0</v>
      </c>
      <c r="D81" s="87">
        <f>(HLOOKUP(CONCATENATE($C$3,-2),alles!$D$1:$AA$314,(MATCH(M81,alles!$C$1:$C$314,0)),0))</f>
        <v>0</v>
      </c>
      <c r="E81" s="86">
        <f>(HLOOKUP(CONCATENATE($E$3,-1),alles!$D$1:$AA$314,(MATCH(M81,alles!$C$1:$C$314,0)),0))</f>
        <v>0</v>
      </c>
      <c r="F81" s="87">
        <f>(HLOOKUP(CONCATENATE($E$3,-2),alles!$D$1:$AA$314,(MATCH(M81,alles!$C$1:$C$314,0)),0))</f>
        <v>0</v>
      </c>
      <c r="G81" s="86">
        <f>(HLOOKUP(CONCATENATE($G$3,-1),alles!$D$1:$AA$314,(MATCH(M81,alles!$C$1:$C$314,0)),0))</f>
        <v>0</v>
      </c>
      <c r="H81" s="87">
        <f>(HLOOKUP(CONCATENATE($G$3,-2),alles!$D$1:$AA$314,(MATCH(M81,alles!$C$1:$C$314,0)),0))</f>
        <v>0</v>
      </c>
      <c r="I81" s="86">
        <f>(HLOOKUP(CONCATENATE($I$3,-1),alles!$D$1:$AA$314,(MATCH(M81,alles!$C$1:$C$314,0)),0))</f>
        <v>0</v>
      </c>
      <c r="J81" s="87">
        <f>(HLOOKUP(CONCATENATE($I$3,-2),alles!$D$1:$AA$314,(MATCH(M81,alles!$C$1:$C$314,0)),0))</f>
        <v>0</v>
      </c>
      <c r="K81" s="102" t="s">
        <v>25</v>
      </c>
      <c r="M81" s="39" t="s">
        <v>399</v>
      </c>
    </row>
    <row r="82" spans="1:13" x14ac:dyDescent="0.15">
      <c r="A82" s="737" t="s">
        <v>154</v>
      </c>
      <c r="B82" s="738"/>
      <c r="C82" s="86">
        <f>(HLOOKUP(CONCATENATE($C$3,-1),alles!$D$1:$AA$314,(MATCH(M82,alles!$C$1:$C$314,0)),0))</f>
        <v>99</v>
      </c>
      <c r="D82" s="87">
        <f>(HLOOKUP(CONCATENATE($C$3,-2),alles!$D$1:$AA$314,(MATCH(M82,alles!$C$1:$C$314,0)),0))</f>
        <v>80.72</v>
      </c>
      <c r="E82" s="86">
        <f>(HLOOKUP(CONCATENATE($E$3,-1),alles!$D$1:$AA$314,(MATCH(M82,alles!$C$1:$C$314,0)),0))</f>
        <v>35.4</v>
      </c>
      <c r="F82" s="87">
        <f>(HLOOKUP(CONCATENATE($E$3,-2),alles!$D$1:$AA$314,(MATCH(M82,alles!$C$1:$C$314,0)),0))</f>
        <v>0</v>
      </c>
      <c r="G82" s="86">
        <f>(HLOOKUP(CONCATENATE($G$3,-1),alles!$D$1:$AA$314,(MATCH(M82,alles!$C$1:$C$314,0)),0))</f>
        <v>17.2</v>
      </c>
      <c r="H82" s="87">
        <f>(HLOOKUP(CONCATENATE($G$3,-2),alles!$D$1:$AA$314,(MATCH(M82,alles!$C$1:$C$314,0)),0))</f>
        <v>16.16</v>
      </c>
      <c r="I82" s="86">
        <f>(HLOOKUP(CONCATENATE($I$3,-1),alles!$D$1:$AA$314,(MATCH(M82,alles!$C$1:$C$314,0)),0))</f>
        <v>21.37</v>
      </c>
      <c r="J82" s="87">
        <f>(HLOOKUP(CONCATENATE($I$3,-2),alles!$D$1:$AA$314,(MATCH(M82,alles!$C$1:$C$314,0)),0))</f>
        <v>42.76</v>
      </c>
      <c r="K82" s="102" t="s">
        <v>25</v>
      </c>
      <c r="M82" s="39" t="s">
        <v>365</v>
      </c>
    </row>
    <row r="83" spans="1:13" hidden="1" x14ac:dyDescent="0.15">
      <c r="A83" s="737" t="s">
        <v>155</v>
      </c>
      <c r="B83" s="738"/>
      <c r="C83" s="86">
        <f>(HLOOKUP(CONCATENATE($C$3,-1),alles!$D$1:$AA$314,(MATCH(M83,alles!$C$1:$C$314,0)),0))</f>
        <v>0</v>
      </c>
      <c r="D83" s="87">
        <f>(HLOOKUP(CONCATENATE($C$3,-2),alles!$D$1:$AA$314,(MATCH(M83,alles!$C$1:$C$314,0)),0))</f>
        <v>0</v>
      </c>
      <c r="E83" s="86">
        <f>(HLOOKUP(CONCATENATE($E$3,-1),alles!$D$1:$AA$314,(MATCH(M83,alles!$C$1:$C$314,0)),0))</f>
        <v>0</v>
      </c>
      <c r="F83" s="87">
        <f>(HLOOKUP(CONCATENATE($E$3,-2),alles!$D$1:$AA$314,(MATCH(M83,alles!$C$1:$C$314,0)),0))</f>
        <v>0</v>
      </c>
      <c r="G83" s="86">
        <f>(HLOOKUP(CONCATENATE($G$3,-1),alles!$D$1:$AA$314,(MATCH(M83,alles!$C$1:$C$314,0)),0))</f>
        <v>0</v>
      </c>
      <c r="H83" s="87">
        <f>(HLOOKUP(CONCATENATE($G$3,-2),alles!$D$1:$AA$314,(MATCH(M83,alles!$C$1:$C$314,0)),0))</f>
        <v>0</v>
      </c>
      <c r="I83" s="86">
        <f>(HLOOKUP(CONCATENATE($I$3,-1),alles!$D$1:$AA$314,(MATCH(M83,alles!$C$1:$C$314,0)),0))</f>
        <v>0</v>
      </c>
      <c r="J83" s="87">
        <f>(HLOOKUP(CONCATENATE($I$3,-2),alles!$D$1:$AA$314,(MATCH(M83,alles!$C$1:$C$314,0)),0))</f>
        <v>0</v>
      </c>
      <c r="K83" s="102" t="s">
        <v>25</v>
      </c>
      <c r="M83" s="39" t="s">
        <v>276</v>
      </c>
    </row>
    <row r="84" spans="1:13" x14ac:dyDescent="0.15">
      <c r="A84" s="737" t="s">
        <v>156</v>
      </c>
      <c r="B84" s="738"/>
      <c r="C84" s="86">
        <f>(HLOOKUP(CONCATENATE($C$3,-1),alles!$D$1:$AA$314,(MATCH(M84,alles!$C$1:$C$314,0)),0))</f>
        <v>59</v>
      </c>
      <c r="D84" s="87">
        <f>(HLOOKUP(CONCATENATE($C$3,-2),alles!$D$1:$AA$314,(MATCH(M84,alles!$C$1:$C$314,0)),0))</f>
        <v>83.66</v>
      </c>
      <c r="E84" s="86">
        <f>(HLOOKUP(CONCATENATE($E$3,-1),alles!$D$1:$AA$314,(MATCH(M84,alles!$C$1:$C$314,0)),0))</f>
        <v>97.22</v>
      </c>
      <c r="F84" s="87">
        <f>(HLOOKUP(CONCATENATE($E$3,-2),alles!$D$1:$AA$314,(MATCH(M84,alles!$C$1:$C$314,0)),0))</f>
        <v>0</v>
      </c>
      <c r="G84" s="86">
        <f>(HLOOKUP(CONCATENATE($G$3,-1),alles!$D$1:$AA$314,(MATCH(M84,alles!$C$1:$C$314,0)),0))</f>
        <v>88.43</v>
      </c>
      <c r="H84" s="87">
        <f>(HLOOKUP(CONCATENATE($G$3,-2),alles!$D$1:$AA$314,(MATCH(M84,alles!$C$1:$C$314,0)),0))</f>
        <v>101.07</v>
      </c>
      <c r="I84" s="86">
        <f>(HLOOKUP(CONCATENATE($I$3,-1),alles!$D$1:$AA$314,(MATCH(M84,alles!$C$1:$C$314,0)),0))</f>
        <v>87.44</v>
      </c>
      <c r="J84" s="87">
        <f>(HLOOKUP(CONCATENATE($I$3,-2),alles!$D$1:$AA$314,(MATCH(M84,alles!$C$1:$C$314,0)),0))</f>
        <v>86.01</v>
      </c>
      <c r="K84" s="102" t="s">
        <v>25</v>
      </c>
      <c r="M84" s="39" t="s">
        <v>277</v>
      </c>
    </row>
    <row r="85" spans="1:13" hidden="1" x14ac:dyDescent="0.15">
      <c r="A85" s="737" t="s">
        <v>157</v>
      </c>
      <c r="B85" s="738"/>
      <c r="C85" s="86">
        <f>(HLOOKUP(CONCATENATE($C$3,-1),alles!$D$1:$AA$314,(MATCH(M85,alles!$C$1:$C$314,0)),0))</f>
        <v>0</v>
      </c>
      <c r="D85" s="87">
        <f>(HLOOKUP(CONCATENATE($C$3,-2),alles!$D$1:$AA$314,(MATCH(M85,alles!$C$1:$C$314,0)),0))</f>
        <v>0</v>
      </c>
      <c r="E85" s="86">
        <f>(HLOOKUP(CONCATENATE($E$3,-1),alles!$D$1:$AA$314,(MATCH(M85,alles!$C$1:$C$314,0)),0))</f>
        <v>0</v>
      </c>
      <c r="F85" s="87">
        <f>(HLOOKUP(CONCATENATE($E$3,-2),alles!$D$1:$AA$314,(MATCH(M85,alles!$C$1:$C$314,0)),0))</f>
        <v>0</v>
      </c>
      <c r="G85" s="86">
        <f>(HLOOKUP(CONCATENATE($G$3,-1),alles!$D$1:$AA$314,(MATCH(M85,alles!$C$1:$C$314,0)),0))</f>
        <v>0</v>
      </c>
      <c r="H85" s="87">
        <f>(HLOOKUP(CONCATENATE($G$3,-2),alles!$D$1:$AA$314,(MATCH(M85,alles!$C$1:$C$314,0)),0))</f>
        <v>0</v>
      </c>
      <c r="I85" s="86">
        <f>(HLOOKUP(CONCATENATE($I$3,-1),alles!$D$1:$AA$314,(MATCH(M85,alles!$C$1:$C$314,0)),0))</f>
        <v>0</v>
      </c>
      <c r="J85" s="87">
        <f>(HLOOKUP(CONCATENATE($I$3,-2),alles!$D$1:$AA$314,(MATCH(M85,alles!$C$1:$C$314,0)),0))</f>
        <v>0</v>
      </c>
      <c r="K85" s="102" t="s">
        <v>25</v>
      </c>
      <c r="M85" s="39" t="s">
        <v>366</v>
      </c>
    </row>
    <row r="86" spans="1:13" x14ac:dyDescent="0.15">
      <c r="A86" s="737" t="s">
        <v>158</v>
      </c>
      <c r="B86" s="738"/>
      <c r="C86" s="86">
        <f>(HLOOKUP(CONCATENATE($C$3,-1),alles!$D$1:$AA$314,(MATCH(M86,alles!$C$1:$C$314,0)),0))</f>
        <v>25</v>
      </c>
      <c r="D86" s="87">
        <f>(HLOOKUP(CONCATENATE($C$3,-2),alles!$D$1:$AA$314,(MATCH(M86,alles!$C$1:$C$314,0)),0))</f>
        <v>87.32</v>
      </c>
      <c r="E86" s="86">
        <f>(HLOOKUP(CONCATENATE($E$3,-1),alles!$D$1:$AA$314,(MATCH(M86,alles!$C$1:$C$314,0)),0))</f>
        <v>226.96</v>
      </c>
      <c r="F86" s="87">
        <f>(HLOOKUP(CONCATENATE($E$3,-2),alles!$D$1:$AA$314,(MATCH(M86,alles!$C$1:$C$314,0)),0))</f>
        <v>0</v>
      </c>
      <c r="G86" s="86">
        <f>(HLOOKUP(CONCATENATE($G$3,-1),alles!$D$1:$AA$314,(MATCH(M86,alles!$C$1:$C$314,0)),0))</f>
        <v>157.04</v>
      </c>
      <c r="H86" s="87">
        <f>(HLOOKUP(CONCATENATE($G$3,-2),alles!$D$1:$AA$314,(MATCH(M86,alles!$C$1:$C$314,0)),0))</f>
        <v>86.26</v>
      </c>
      <c r="I86" s="86">
        <f>(HLOOKUP(CONCATENATE($I$3,-1),alles!$D$1:$AA$314,(MATCH(M86,alles!$C$1:$C$314,0)),0))</f>
        <v>148.69999999999999</v>
      </c>
      <c r="J86" s="87">
        <f>(HLOOKUP(CONCATENATE($I$3,-2),alles!$D$1:$AA$314,(MATCH(M86,alles!$C$1:$C$314,0)),0))</f>
        <v>166.02</v>
      </c>
      <c r="K86" s="102" t="s">
        <v>25</v>
      </c>
      <c r="M86" s="39" t="s">
        <v>278</v>
      </c>
    </row>
    <row r="87" spans="1:13" x14ac:dyDescent="0.15">
      <c r="A87" s="737" t="s">
        <v>159</v>
      </c>
      <c r="B87" s="738"/>
      <c r="C87" s="86">
        <f>(HLOOKUP(CONCATENATE($C$3,-1),alles!$D$1:$AA$314,(MATCH(M87,alles!$C$1:$C$314,0)),0))</f>
        <v>105</v>
      </c>
      <c r="D87" s="87">
        <f>(HLOOKUP(CONCATENATE($C$3,-2),alles!$D$1:$AA$314,(MATCH(M87,alles!$C$1:$C$314,0)),0))</f>
        <v>290.8</v>
      </c>
      <c r="E87" s="86">
        <f>(HLOOKUP(CONCATENATE($E$3,-1),alles!$D$1:$AA$314,(MATCH(M87,alles!$C$1:$C$314,0)),0))</f>
        <v>157.96</v>
      </c>
      <c r="F87" s="87">
        <f>(HLOOKUP(CONCATENATE($E$3,-2),alles!$D$1:$AA$314,(MATCH(M87,alles!$C$1:$C$314,0)),0))</f>
        <v>0</v>
      </c>
      <c r="G87" s="86">
        <f>(HLOOKUP(CONCATENATE($G$3,-1),alles!$D$1:$AA$314,(MATCH(M87,alles!$C$1:$C$314,0)),0))</f>
        <v>137.91999999999999</v>
      </c>
      <c r="H87" s="87">
        <f>(HLOOKUP(CONCATENATE($G$3,-2),alles!$D$1:$AA$314,(MATCH(M87,alles!$C$1:$C$314,0)),0))</f>
        <v>208.75</v>
      </c>
      <c r="I87" s="86">
        <f>(HLOOKUP(CONCATENATE($I$3,-1),alles!$D$1:$AA$314,(MATCH(M87,alles!$C$1:$C$314,0)),0))</f>
        <v>202.61</v>
      </c>
      <c r="J87" s="87">
        <f>(HLOOKUP(CONCATENATE($I$3,-2),alles!$D$1:$AA$314,(MATCH(M87,alles!$C$1:$C$314,0)),0))</f>
        <v>187.85</v>
      </c>
      <c r="K87" s="102" t="s">
        <v>25</v>
      </c>
      <c r="M87" s="39" t="s">
        <v>279</v>
      </c>
    </row>
    <row r="88" spans="1:13" x14ac:dyDescent="0.15">
      <c r="A88" s="737" t="s">
        <v>160</v>
      </c>
      <c r="B88" s="738"/>
      <c r="C88" s="86">
        <f>(HLOOKUP(CONCATENATE($C$3,-1),alles!$D$1:$AA$314,(MATCH(M88,alles!$C$1:$C$314,0)),0))</f>
        <v>1532</v>
      </c>
      <c r="D88" s="87">
        <f>(HLOOKUP(CONCATENATE($C$3,-2),alles!$D$1:$AA$314,(MATCH(M88,alles!$C$1:$C$314,0)),0))</f>
        <v>1446.72</v>
      </c>
      <c r="E88" s="86">
        <f>(HLOOKUP(CONCATENATE($E$3,-1),alles!$D$1:$AA$314,(MATCH(M88,alles!$C$1:$C$314,0)),0))</f>
        <v>1583.18</v>
      </c>
      <c r="F88" s="87">
        <f>(HLOOKUP(CONCATENATE($E$3,-2),alles!$D$1:$AA$314,(MATCH(M88,alles!$C$1:$C$314,0)),0))</f>
        <v>0</v>
      </c>
      <c r="G88" s="86">
        <f>(HLOOKUP(CONCATENATE($G$3,-1),alles!$D$1:$AA$314,(MATCH(M88,alles!$C$1:$C$314,0)),0))</f>
        <v>1571.04</v>
      </c>
      <c r="H88" s="87">
        <f>(HLOOKUP(CONCATENATE($G$3,-2),alles!$D$1:$AA$314,(MATCH(M88,alles!$C$1:$C$314,0)),0))</f>
        <v>1410.04</v>
      </c>
      <c r="I88" s="86">
        <f>(HLOOKUP(CONCATENATE($I$3,-1),alles!$D$1:$AA$314,(MATCH(M88,alles!$C$1:$C$314,0)),0))</f>
        <v>2241.67</v>
      </c>
      <c r="J88" s="87">
        <f>(HLOOKUP(CONCATENATE($I$3,-2),alles!$D$1:$AA$314,(MATCH(M88,alles!$C$1:$C$314,0)),0))</f>
        <v>1918.9</v>
      </c>
      <c r="K88" s="102" t="s">
        <v>25</v>
      </c>
      <c r="M88" s="39" t="s">
        <v>367</v>
      </c>
    </row>
    <row r="89" spans="1:13" ht="10" hidden="1" customHeight="1" x14ac:dyDescent="0.15">
      <c r="A89" s="737" t="s">
        <v>161</v>
      </c>
      <c r="B89" s="738"/>
      <c r="C89" s="86">
        <f>(HLOOKUP(CONCATENATE($C$3,-1),alles!$D$1:$AA$314,(MATCH(M89,alles!$C$1:$C$314,0)),0))</f>
        <v>0</v>
      </c>
      <c r="D89" s="87">
        <f>(HLOOKUP(CONCATENATE($C$3,-2),alles!$D$1:$AA$314,(MATCH(M89,alles!$C$1:$C$314,0)),0))</f>
        <v>0</v>
      </c>
      <c r="E89" s="86">
        <f>(HLOOKUP(CONCATENATE($E$3,-1),alles!$D$1:$AA$314,(MATCH(M89,alles!$C$1:$C$314,0)),0))</f>
        <v>0</v>
      </c>
      <c r="F89" s="87">
        <f>(HLOOKUP(CONCATENATE($E$3,-2),alles!$D$1:$AA$314,(MATCH(M89,alles!$C$1:$C$314,0)),0))</f>
        <v>0</v>
      </c>
      <c r="G89" s="86">
        <f>(HLOOKUP(CONCATENATE($G$3,-1),alles!$D$1:$AA$314,(MATCH(M89,alles!$C$1:$C$314,0)),0))</f>
        <v>0</v>
      </c>
      <c r="H89" s="87">
        <f>(HLOOKUP(CONCATENATE($G$3,-2),alles!$D$1:$AA$314,(MATCH(M89,alles!$C$1:$C$314,0)),0))</f>
        <v>0</v>
      </c>
      <c r="I89" s="86">
        <f>(HLOOKUP(CONCATENATE($I$3,-1),alles!$D$1:$AA$314,(MATCH(M89,alles!$C$1:$C$314,0)),0))</f>
        <v>0</v>
      </c>
      <c r="J89" s="87">
        <f>(HLOOKUP(CONCATENATE($I$3,-2),alles!$D$1:$AA$314,(MATCH(M89,alles!$C$1:$C$314,0)),0))</f>
        <v>0</v>
      </c>
      <c r="K89" s="102" t="s">
        <v>25</v>
      </c>
      <c r="M89" s="39" t="s">
        <v>280</v>
      </c>
    </row>
    <row r="90" spans="1:13" hidden="1" x14ac:dyDescent="0.15">
      <c r="A90" s="737" t="s">
        <v>162</v>
      </c>
      <c r="B90" s="738"/>
      <c r="C90" s="86">
        <f>(HLOOKUP(CONCATENATE($C$3,-1),alles!$D$1:$AA$314,(MATCH(M90,alles!$C$1:$C$314,0)),0))</f>
        <v>0</v>
      </c>
      <c r="D90" s="87">
        <f>(HLOOKUP(CONCATENATE($C$3,-2),alles!$D$1:$AA$314,(MATCH(M90,alles!$C$1:$C$314,0)),0))</f>
        <v>0</v>
      </c>
      <c r="E90" s="86">
        <f>(HLOOKUP(CONCATENATE($E$3,-1),alles!$D$1:$AA$314,(MATCH(M90,alles!$C$1:$C$314,0)),0))</f>
        <v>0</v>
      </c>
      <c r="F90" s="87">
        <f>(HLOOKUP(CONCATENATE($E$3,-2),alles!$D$1:$AA$314,(MATCH(M90,alles!$C$1:$C$314,0)),0))</f>
        <v>0</v>
      </c>
      <c r="G90" s="86">
        <f>(HLOOKUP(CONCATENATE($G$3,-1),alles!$D$1:$AA$314,(MATCH(M90,alles!$C$1:$C$314,0)),0))</f>
        <v>0</v>
      </c>
      <c r="H90" s="87">
        <f>(HLOOKUP(CONCATENATE($G$3,-2),alles!$D$1:$AA$314,(MATCH(M90,alles!$C$1:$C$314,0)),0))</f>
        <v>0</v>
      </c>
      <c r="I90" s="86">
        <f>(HLOOKUP(CONCATENATE($I$3,-1),alles!$D$1:$AA$314,(MATCH(M90,alles!$C$1:$C$314,0)),0))</f>
        <v>0</v>
      </c>
      <c r="J90" s="87">
        <f>(HLOOKUP(CONCATENATE($I$3,-2),alles!$D$1:$AA$314,(MATCH(M90,alles!$C$1:$C$314,0)),0))</f>
        <v>0</v>
      </c>
      <c r="K90" s="102" t="s">
        <v>25</v>
      </c>
      <c r="M90" s="39" t="s">
        <v>368</v>
      </c>
    </row>
    <row r="91" spans="1:13" x14ac:dyDescent="0.15">
      <c r="A91" s="737" t="s">
        <v>163</v>
      </c>
      <c r="B91" s="738"/>
      <c r="C91" s="86">
        <f>(HLOOKUP(CONCATENATE($C$3,-1),alles!$D$1:$AA$314,(MATCH(M91,alles!$C$1:$C$314,0)),0))</f>
        <v>116</v>
      </c>
      <c r="D91" s="87">
        <f>(HLOOKUP(CONCATENATE($C$3,-2),alles!$D$1:$AA$314,(MATCH(M91,alles!$C$1:$C$314,0)),0))</f>
        <v>115.12</v>
      </c>
      <c r="E91" s="86">
        <f>(HLOOKUP(CONCATENATE($E$3,-1),alles!$D$1:$AA$314,(MATCH(M91,alles!$C$1:$C$314,0)),0))</f>
        <v>38.61</v>
      </c>
      <c r="F91" s="87">
        <f>(HLOOKUP(CONCATENATE($E$3,-2),alles!$D$1:$AA$314,(MATCH(M91,alles!$C$1:$C$314,0)),0))</f>
        <v>0</v>
      </c>
      <c r="G91" s="86">
        <f>(HLOOKUP(CONCATENATE($G$3,-1),alles!$D$1:$AA$314,(MATCH(M91,alles!$C$1:$C$314,0)),0))</f>
        <v>54.97</v>
      </c>
      <c r="H91" s="87">
        <f>(HLOOKUP(CONCATENATE($G$3,-2),alles!$D$1:$AA$314,(MATCH(M91,alles!$C$1:$C$314,0)),0))</f>
        <v>57.66</v>
      </c>
      <c r="I91" s="86">
        <f>(HLOOKUP(CONCATENATE($I$3,-1),alles!$D$1:$AA$314,(MATCH(M91,alles!$C$1:$C$314,0)),0))</f>
        <v>41.94</v>
      </c>
      <c r="J91" s="87">
        <f>(HLOOKUP(CONCATENATE($I$3,-2),alles!$D$1:$AA$314,(MATCH(M91,alles!$C$1:$C$314,0)),0))</f>
        <v>47.28</v>
      </c>
      <c r="K91" s="102" t="s">
        <v>25</v>
      </c>
      <c r="M91" s="39" t="s">
        <v>369</v>
      </c>
    </row>
    <row r="92" spans="1:13" hidden="1" x14ac:dyDescent="0.15">
      <c r="A92" s="737" t="s">
        <v>189</v>
      </c>
      <c r="B92" s="738"/>
      <c r="C92" s="86">
        <f>(HLOOKUP(CONCATENATE($C$3,-1),alles!$D$1:$AA$314,(MATCH(M92,alles!$C$1:$C$314,0)),0))</f>
        <v>0</v>
      </c>
      <c r="D92" s="87">
        <f>(HLOOKUP(CONCATENATE($C$3,-2),alles!$D$1:$AA$314,(MATCH(M92,alles!$C$1:$C$314,0)),0))</f>
        <v>0</v>
      </c>
      <c r="E92" s="86">
        <f>(HLOOKUP(CONCATENATE($E$3,-1),alles!$D$1:$AA$314,(MATCH(M92,alles!$C$1:$C$314,0)),0))</f>
        <v>0</v>
      </c>
      <c r="F92" s="87">
        <f>(HLOOKUP(CONCATENATE($E$3,-2),alles!$D$1:$AA$314,(MATCH(M92,alles!$C$1:$C$314,0)),0))</f>
        <v>0</v>
      </c>
      <c r="G92" s="86">
        <f>(HLOOKUP(CONCATENATE($G$3,-1),alles!$D$1:$AA$314,(MATCH(M92,alles!$C$1:$C$314,0)),0))</f>
        <v>0</v>
      </c>
      <c r="H92" s="87">
        <f>(HLOOKUP(CONCATENATE($G$3,-2),alles!$D$1:$AA$314,(MATCH(M92,alles!$C$1:$C$314,0)),0))</f>
        <v>0</v>
      </c>
      <c r="I92" s="86">
        <f>(HLOOKUP(CONCATENATE($I$3,-1),alles!$D$1:$AA$314,(MATCH(M92,alles!$C$1:$C$314,0)),0))</f>
        <v>0</v>
      </c>
      <c r="J92" s="87">
        <f>(HLOOKUP(CONCATENATE($I$3,-2),alles!$D$1:$AA$314,(MATCH(M92,alles!$C$1:$C$314,0)),0))</f>
        <v>0</v>
      </c>
      <c r="K92" s="102" t="s">
        <v>25</v>
      </c>
      <c r="M92" s="39" t="s">
        <v>370</v>
      </c>
    </row>
    <row r="93" spans="1:13" hidden="1" x14ac:dyDescent="0.15">
      <c r="A93" s="737" t="s">
        <v>190</v>
      </c>
      <c r="B93" s="738"/>
      <c r="C93" s="86">
        <f>(HLOOKUP(CONCATENATE($C$3,-1),alles!$D$1:$AA$314,(MATCH(M93,alles!$C$1:$C$314,0)),0))</f>
        <v>0</v>
      </c>
      <c r="D93" s="87">
        <f>(HLOOKUP(CONCATENATE($C$3,-2),alles!$D$1:$AA$314,(MATCH(M93,alles!$C$1:$C$314,0)),0))</f>
        <v>0</v>
      </c>
      <c r="E93" s="86">
        <f>(HLOOKUP(CONCATENATE($E$3,-1),alles!$D$1:$AA$314,(MATCH(M93,alles!$C$1:$C$314,0)),0))</f>
        <v>0</v>
      </c>
      <c r="F93" s="87">
        <f>(HLOOKUP(CONCATENATE($E$3,-2),alles!$D$1:$AA$314,(MATCH(M93,alles!$C$1:$C$314,0)),0))</f>
        <v>0</v>
      </c>
      <c r="G93" s="86">
        <f>(HLOOKUP(CONCATENATE($G$3,-1),alles!$D$1:$AA$314,(MATCH(M93,alles!$C$1:$C$314,0)),0))</f>
        <v>0</v>
      </c>
      <c r="H93" s="87">
        <f>(HLOOKUP(CONCATENATE($G$3,-2),alles!$D$1:$AA$314,(MATCH(M93,alles!$C$1:$C$314,0)),0))</f>
        <v>0</v>
      </c>
      <c r="I93" s="86">
        <f>(HLOOKUP(CONCATENATE($I$3,-1),alles!$D$1:$AA$314,(MATCH(M93,alles!$C$1:$C$314,0)),0))</f>
        <v>0</v>
      </c>
      <c r="J93" s="87">
        <f>(HLOOKUP(CONCATENATE($I$3,-2),alles!$D$1:$AA$314,(MATCH(M93,alles!$C$1:$C$314,0)),0))</f>
        <v>0</v>
      </c>
      <c r="K93" s="102" t="s">
        <v>25</v>
      </c>
      <c r="M93" s="39" t="s">
        <v>371</v>
      </c>
    </row>
    <row r="94" spans="1:13" x14ac:dyDescent="0.15">
      <c r="A94" s="737" t="s">
        <v>164</v>
      </c>
      <c r="B94" s="738"/>
      <c r="C94" s="86">
        <f>(HLOOKUP(CONCATENATE($C$3,-1),alles!$D$1:$AA$314,(MATCH(M94,alles!$C$1:$C$314,0)),0))</f>
        <v>15</v>
      </c>
      <c r="D94" s="87">
        <f>(HLOOKUP(CONCATENATE($C$3,-2),alles!$D$1:$AA$314,(MATCH(M94,alles!$C$1:$C$314,0)),0))</f>
        <v>155.5</v>
      </c>
      <c r="E94" s="86">
        <f>(HLOOKUP(CONCATENATE($E$3,-1),alles!$D$1:$AA$314,(MATCH(M94,alles!$C$1:$C$314,0)),0))</f>
        <v>11.98</v>
      </c>
      <c r="F94" s="87">
        <f>(HLOOKUP(CONCATENATE($E$3,-2),alles!$D$1:$AA$314,(MATCH(M94,alles!$C$1:$C$314,0)),0))</f>
        <v>0</v>
      </c>
      <c r="G94" s="86">
        <f>(HLOOKUP(CONCATENATE($G$3,-1),alles!$D$1:$AA$314,(MATCH(M94,alles!$C$1:$C$314,0)),0))</f>
        <v>19.63</v>
      </c>
      <c r="H94" s="87">
        <f>(HLOOKUP(CONCATENATE($G$3,-2),alles!$D$1:$AA$314,(MATCH(M94,alles!$C$1:$C$314,0)),0))</f>
        <v>15.36</v>
      </c>
      <c r="I94" s="86">
        <f>(HLOOKUP(CONCATENATE($I$3,-1),alles!$D$1:$AA$314,(MATCH(M94,alles!$C$1:$C$314,0)),0))</f>
        <v>23</v>
      </c>
      <c r="J94" s="87">
        <f>(HLOOKUP(CONCATENATE($I$3,-2),alles!$D$1:$AA$314,(MATCH(M94,alles!$C$1:$C$314,0)),0))</f>
        <v>20.6</v>
      </c>
      <c r="K94" s="102" t="s">
        <v>25</v>
      </c>
      <c r="M94" s="39" t="s">
        <v>372</v>
      </c>
    </row>
    <row r="95" spans="1:13" ht="13" hidden="1" customHeight="1" x14ac:dyDescent="0.15">
      <c r="A95" s="737" t="s">
        <v>165</v>
      </c>
      <c r="B95" s="738"/>
      <c r="C95" s="86">
        <f>(HLOOKUP(CONCATENATE($C$3,-1),alles!$D$1:$AA$314,(MATCH(M95,alles!$C$1:$C$314,0)),0))</f>
        <v>0</v>
      </c>
      <c r="D95" s="87">
        <f>(HLOOKUP(CONCATENATE($C$3,-2),alles!$D$1:$AA$314,(MATCH(M95,alles!$C$1:$C$314,0)),0))</f>
        <v>0</v>
      </c>
      <c r="E95" s="86">
        <f>(HLOOKUP(CONCATENATE($E$3,-1),alles!$D$1:$AA$314,(MATCH(M95,alles!$C$1:$C$314,0)),0))</f>
        <v>0</v>
      </c>
      <c r="F95" s="87">
        <f>(HLOOKUP(CONCATENATE($E$3,-2),alles!$D$1:$AA$314,(MATCH(M95,alles!$C$1:$C$314,0)),0))</f>
        <v>0</v>
      </c>
      <c r="G95" s="86">
        <f>(HLOOKUP(CONCATENATE($G$3,-1),alles!$D$1:$AA$314,(MATCH(M95,alles!$C$1:$C$314,0)),0))</f>
        <v>0</v>
      </c>
      <c r="H95" s="87">
        <f>(HLOOKUP(CONCATENATE($G$3,-2),alles!$D$1:$AA$314,(MATCH(M95,alles!$C$1:$C$314,0)),0))</f>
        <v>0</v>
      </c>
      <c r="I95" s="86">
        <f>(HLOOKUP(CONCATENATE($I$3,-1),alles!$D$1:$AA$314,(MATCH(M95,alles!$C$1:$C$314,0)),0))</f>
        <v>0</v>
      </c>
      <c r="J95" s="87">
        <f>(HLOOKUP(CONCATENATE($I$3,-2),alles!$D$1:$AA$314,(MATCH(M95,alles!$C$1:$C$314,0)),0))</f>
        <v>0</v>
      </c>
      <c r="K95" s="102" t="s">
        <v>25</v>
      </c>
      <c r="M95" s="39" t="s">
        <v>373</v>
      </c>
    </row>
    <row r="96" spans="1:13" x14ac:dyDescent="0.15">
      <c r="A96" s="737" t="s">
        <v>166</v>
      </c>
      <c r="B96" s="738"/>
      <c r="C96" s="86">
        <f>(HLOOKUP(CONCATENATE($C$3,-1),alles!$D$1:$AA$314,(MATCH(M96,alles!$C$1:$C$314,0)),0))</f>
        <v>2671</v>
      </c>
      <c r="D96" s="87">
        <f>(HLOOKUP(CONCATENATE($C$3,-2),alles!$D$1:$AA$314,(MATCH(M96,alles!$C$1:$C$314,0)),0))</f>
        <v>3512.82</v>
      </c>
      <c r="E96" s="86">
        <f>(HLOOKUP(CONCATENATE($E$3,-1),alles!$D$1:$AA$314,(MATCH(M96,alles!$C$1:$C$314,0)),0))</f>
        <v>2005.17</v>
      </c>
      <c r="F96" s="87">
        <f>(HLOOKUP(CONCATENATE($E$3,-2),alles!$D$1:$AA$314,(MATCH(M96,alles!$C$1:$C$314,0)),0))</f>
        <v>0</v>
      </c>
      <c r="G96" s="86">
        <f>(HLOOKUP(CONCATENATE($G$3,-1),alles!$D$1:$AA$314,(MATCH(M96,alles!$C$1:$C$314,0)),0))</f>
        <v>2297.1799999999998</v>
      </c>
      <c r="H96" s="87">
        <f>(HLOOKUP(CONCATENATE($G$3,-2),alles!$D$1:$AA$314,(MATCH(M96,alles!$C$1:$C$314,0)),0))</f>
        <v>3217.38</v>
      </c>
      <c r="I96" s="86">
        <f>(HLOOKUP(CONCATENATE($I$3,-1),alles!$D$1:$AA$314,(MATCH(M96,alles!$C$1:$C$314,0)),0))</f>
        <v>1955.32</v>
      </c>
      <c r="J96" s="87">
        <f>(HLOOKUP(CONCATENATE($I$3,-2),alles!$D$1:$AA$314,(MATCH(M96,alles!$C$1:$C$314,0)),0))</f>
        <v>2629.19</v>
      </c>
      <c r="K96" s="102" t="s">
        <v>25</v>
      </c>
      <c r="M96" s="39" t="s">
        <v>374</v>
      </c>
    </row>
    <row r="97" spans="1:13" hidden="1" x14ac:dyDescent="0.15">
      <c r="A97" s="737" t="s">
        <v>167</v>
      </c>
      <c r="B97" s="738"/>
      <c r="C97" s="86">
        <f>(HLOOKUP(CONCATENATE($C$3,-1),alles!$D$1:$AA$314,(MATCH(M97,alles!$C$1:$C$314,0)),0))</f>
        <v>0</v>
      </c>
      <c r="D97" s="87">
        <f>(HLOOKUP(CONCATENATE($C$3,-2),alles!$D$1:$AA$314,(MATCH(M97,alles!$C$1:$C$314,0)),0))</f>
        <v>0</v>
      </c>
      <c r="E97" s="86">
        <f>(HLOOKUP(CONCATENATE($E$3,-1),alles!$D$1:$AA$314,(MATCH(M97,alles!$C$1:$C$314,0)),0))</f>
        <v>0</v>
      </c>
      <c r="F97" s="87">
        <f>(HLOOKUP(CONCATENATE($E$3,-2),alles!$D$1:$AA$314,(MATCH(M97,alles!$C$1:$C$314,0)),0))</f>
        <v>0</v>
      </c>
      <c r="G97" s="86">
        <f>(HLOOKUP(CONCATENATE($G$3,-1),alles!$D$1:$AA$314,(MATCH(M97,alles!$C$1:$C$314,0)),0))</f>
        <v>0</v>
      </c>
      <c r="H97" s="87">
        <f>(HLOOKUP(CONCATENATE($G$3,-2),alles!$D$1:$AA$314,(MATCH(M97,alles!$C$1:$C$314,0)),0))</f>
        <v>0</v>
      </c>
      <c r="I97" s="86">
        <f>(HLOOKUP(CONCATENATE($I$3,-1),alles!$D$1:$AA$314,(MATCH(M97,alles!$C$1:$C$314,0)),0))</f>
        <v>0</v>
      </c>
      <c r="J97" s="87">
        <f>(HLOOKUP(CONCATENATE($I$3,-2),alles!$D$1:$AA$314,(MATCH(M97,alles!$C$1:$C$314,0)),0))</f>
        <v>0</v>
      </c>
      <c r="K97" s="102" t="s">
        <v>25</v>
      </c>
      <c r="M97" s="39" t="s">
        <v>375</v>
      </c>
    </row>
    <row r="98" spans="1:13" x14ac:dyDescent="0.15">
      <c r="A98" s="737" t="s">
        <v>168</v>
      </c>
      <c r="B98" s="738"/>
      <c r="C98" s="86">
        <f>(HLOOKUP(CONCATENATE($C$3,-1),alles!$D$1:$AA$314,(MATCH(M98,alles!$C$1:$C$314,0)),0))</f>
        <v>198</v>
      </c>
      <c r="D98" s="87">
        <f>(HLOOKUP(CONCATENATE($C$3,-2),alles!$D$1:$AA$314,(MATCH(M98,alles!$C$1:$C$314,0)),0))</f>
        <v>1430.13</v>
      </c>
      <c r="E98" s="86">
        <f>(HLOOKUP(CONCATENATE($E$3,-1),alles!$D$1:$AA$314,(MATCH(M98,alles!$C$1:$C$314,0)),0))</f>
        <v>1046.46</v>
      </c>
      <c r="F98" s="87">
        <f>(HLOOKUP(CONCATENATE($E$3,-2),alles!$D$1:$AA$314,(MATCH(M98,alles!$C$1:$C$314,0)),0))</f>
        <v>0</v>
      </c>
      <c r="G98" s="86">
        <f>(HLOOKUP(CONCATENATE($G$3,-1),alles!$D$1:$AA$314,(MATCH(M98,alles!$C$1:$C$314,0)),0))</f>
        <v>1160.29</v>
      </c>
      <c r="H98" s="87">
        <f>(HLOOKUP(CONCATENATE($G$3,-2),alles!$D$1:$AA$314,(MATCH(M98,alles!$C$1:$C$314,0)),0))</f>
        <v>1187.06</v>
      </c>
      <c r="I98" s="86">
        <f>(HLOOKUP(CONCATENATE($I$3,-1),alles!$D$1:$AA$314,(MATCH(M98,alles!$C$1:$C$314,0)),0))</f>
        <v>1116.21</v>
      </c>
      <c r="J98" s="87">
        <f>(HLOOKUP(CONCATENATE($I$3,-2),alles!$D$1:$AA$314,(MATCH(M98,alles!$C$1:$C$314,0)),0))</f>
        <v>1172.93</v>
      </c>
      <c r="K98" s="102" t="s">
        <v>25</v>
      </c>
      <c r="M98" s="39" t="s">
        <v>281</v>
      </c>
    </row>
    <row r="99" spans="1:13" x14ac:dyDescent="0.15">
      <c r="A99" s="737" t="s">
        <v>169</v>
      </c>
      <c r="B99" s="738"/>
      <c r="C99" s="86">
        <f>(HLOOKUP(CONCATENATE($C$3,-1),alles!$D$1:$AA$314,(MATCH(M99,alles!$C$1:$C$314,0)),0))</f>
        <v>15862</v>
      </c>
      <c r="D99" s="87">
        <f>(HLOOKUP(CONCATENATE($C$3,-2),alles!$D$1:$AA$314,(MATCH(M99,alles!$C$1:$C$314,0)),0))</f>
        <v>10128.14</v>
      </c>
      <c r="E99" s="86">
        <f>(HLOOKUP(CONCATENATE($E$3,-1),alles!$D$1:$AA$314,(MATCH(M99,alles!$C$1:$C$314,0)),0))</f>
        <v>16126.76</v>
      </c>
      <c r="F99" s="87">
        <f>(HLOOKUP(CONCATENATE($E$3,-2),alles!$D$1:$AA$314,(MATCH(M99,alles!$C$1:$C$314,0)),0))</f>
        <v>0</v>
      </c>
      <c r="G99" s="86">
        <f>(HLOOKUP(CONCATENATE($G$3,-1),alles!$D$1:$AA$314,(MATCH(M99,alles!$C$1:$C$314,0)),0))</f>
        <v>9896.89</v>
      </c>
      <c r="H99" s="87">
        <f>(HLOOKUP(CONCATENATE($G$3,-2),alles!$D$1:$AA$314,(MATCH(M99,alles!$C$1:$C$314,0)),0))</f>
        <v>10573.27</v>
      </c>
      <c r="I99" s="86">
        <f>(HLOOKUP(CONCATENATE($I$3,-1),alles!$D$1:$AA$314,(MATCH(M99,alles!$C$1:$C$314,0)),0))</f>
        <v>12876.15</v>
      </c>
      <c r="J99" s="87">
        <f>(HLOOKUP(CONCATENATE($I$3,-2),alles!$D$1:$AA$314,(MATCH(M99,alles!$C$1:$C$314,0)),0))</f>
        <v>12537.37</v>
      </c>
      <c r="K99" s="102" t="s">
        <v>25</v>
      </c>
      <c r="M99" s="39" t="s">
        <v>282</v>
      </c>
    </row>
    <row r="100" spans="1:13" hidden="1" x14ac:dyDescent="0.15">
      <c r="A100" s="737" t="s">
        <v>191</v>
      </c>
      <c r="B100" s="738"/>
      <c r="C100" s="86">
        <f>(HLOOKUP(CONCATENATE($C$3,-1),alles!$D$1:$AA$314,(MATCH(M100,alles!$C$1:$C$314,0)),0))</f>
        <v>0</v>
      </c>
      <c r="D100" s="87">
        <f>(HLOOKUP(CONCATENATE($C$3,-2),alles!$D$1:$AA$314,(MATCH(M100,alles!$C$1:$C$314,0)),0))</f>
        <v>0</v>
      </c>
      <c r="E100" s="86">
        <f>(HLOOKUP(CONCATENATE($E$3,-1),alles!$D$1:$AA$314,(MATCH(M100,alles!$C$1:$C$314,0)),0))</f>
        <v>0</v>
      </c>
      <c r="F100" s="87">
        <f>(HLOOKUP(CONCATENATE($E$3,-2),alles!$D$1:$AA$314,(MATCH(M100,alles!$C$1:$C$314,0)),0))</f>
        <v>0</v>
      </c>
      <c r="G100" s="86">
        <f>(HLOOKUP(CONCATENATE($G$3,-1),alles!$D$1:$AA$314,(MATCH(M100,alles!$C$1:$C$314,0)),0))</f>
        <v>0</v>
      </c>
      <c r="H100" s="87">
        <f>(HLOOKUP(CONCATENATE($G$3,-2),alles!$D$1:$AA$314,(MATCH(M100,alles!$C$1:$C$314,0)),0))</f>
        <v>0</v>
      </c>
      <c r="I100" s="86">
        <f>(HLOOKUP(CONCATENATE($I$3,-1),alles!$D$1:$AA$314,(MATCH(M100,alles!$C$1:$C$314,0)),0))</f>
        <v>0</v>
      </c>
      <c r="J100" s="87">
        <f>(HLOOKUP(CONCATENATE($I$3,-2),alles!$D$1:$AA$314,(MATCH(M100,alles!$C$1:$C$314,0)),0))</f>
        <v>0</v>
      </c>
      <c r="K100" s="102" t="s">
        <v>25</v>
      </c>
      <c r="M100" s="39" t="s">
        <v>376</v>
      </c>
    </row>
    <row r="101" spans="1:13" hidden="1" x14ac:dyDescent="0.15">
      <c r="A101" s="737" t="s">
        <v>170</v>
      </c>
      <c r="B101" s="738"/>
      <c r="C101" s="86">
        <f>(HLOOKUP(CONCATENATE($C$3,-1),alles!$D$1:$AA$314,(MATCH(M101,alles!$C$1:$C$314,0)),0))</f>
        <v>0</v>
      </c>
      <c r="D101" s="87">
        <f>(HLOOKUP(CONCATENATE($C$3,-2),alles!$D$1:$AA$314,(MATCH(M101,alles!$C$1:$C$314,0)),0))</f>
        <v>0</v>
      </c>
      <c r="E101" s="86">
        <f>(HLOOKUP(CONCATENATE($E$3,-1),alles!$D$1:$AA$314,(MATCH(M101,alles!$C$1:$C$314,0)),0))</f>
        <v>0</v>
      </c>
      <c r="F101" s="87">
        <f>(HLOOKUP(CONCATENATE($E$3,-2),alles!$D$1:$AA$314,(MATCH(M101,alles!$C$1:$C$314,0)),0))</f>
        <v>0</v>
      </c>
      <c r="G101" s="86">
        <f>(HLOOKUP(CONCATENATE($G$3,-1),alles!$D$1:$AA$314,(MATCH(M101,alles!$C$1:$C$314,0)),0))</f>
        <v>0</v>
      </c>
      <c r="H101" s="87">
        <f>(HLOOKUP(CONCATENATE($G$3,-2),alles!$D$1:$AA$314,(MATCH(M101,alles!$C$1:$C$314,0)),0))</f>
        <v>0</v>
      </c>
      <c r="I101" s="86">
        <f>(HLOOKUP(CONCATENATE($I$3,-1),alles!$D$1:$AA$314,(MATCH(M101,alles!$C$1:$C$314,0)),0))</f>
        <v>0</v>
      </c>
      <c r="J101" s="87">
        <f>(HLOOKUP(CONCATENATE($I$3,-2),alles!$D$1:$AA$314,(MATCH(M101,alles!$C$1:$C$314,0)),0))</f>
        <v>0</v>
      </c>
      <c r="K101" s="102" t="s">
        <v>25</v>
      </c>
      <c r="M101" s="39" t="s">
        <v>377</v>
      </c>
    </row>
    <row r="102" spans="1:13" hidden="1" x14ac:dyDescent="0.15">
      <c r="A102" s="737" t="s">
        <v>171</v>
      </c>
      <c r="B102" s="738"/>
      <c r="C102" s="86">
        <f>(HLOOKUP(CONCATENATE($C$3,-1),alles!$D$1:$AA$314,(MATCH(M102,alles!$C$1:$C$314,0)),0))</f>
        <v>0</v>
      </c>
      <c r="D102" s="87">
        <f>(HLOOKUP(CONCATENATE($C$3,-2),alles!$D$1:$AA$314,(MATCH(M102,alles!$C$1:$C$314,0)),0))</f>
        <v>0</v>
      </c>
      <c r="E102" s="86">
        <f>(HLOOKUP(CONCATENATE($E$3,-1),alles!$D$1:$AA$314,(MATCH(M102,alles!$C$1:$C$314,0)),0))</f>
        <v>0</v>
      </c>
      <c r="F102" s="87">
        <f>(HLOOKUP(CONCATENATE($E$3,-2),alles!$D$1:$AA$314,(MATCH(M102,alles!$C$1:$C$314,0)),0))</f>
        <v>0</v>
      </c>
      <c r="G102" s="86">
        <f>(HLOOKUP(CONCATENATE($G$3,-1),alles!$D$1:$AA$314,(MATCH(M102,alles!$C$1:$C$314,0)),0))</f>
        <v>0</v>
      </c>
      <c r="H102" s="87">
        <f>(HLOOKUP(CONCATENATE($G$3,-2),alles!$D$1:$AA$314,(MATCH(M102,alles!$C$1:$C$314,0)),0))</f>
        <v>0</v>
      </c>
      <c r="I102" s="86">
        <f>(HLOOKUP(CONCATENATE($I$3,-1),alles!$D$1:$AA$314,(MATCH(M102,alles!$C$1:$C$314,0)),0))</f>
        <v>0</v>
      </c>
      <c r="J102" s="87">
        <f>(HLOOKUP(CONCATENATE($I$3,-2),alles!$D$1:$AA$314,(MATCH(M102,alles!$C$1:$C$314,0)),0))</f>
        <v>0</v>
      </c>
      <c r="K102" s="102" t="s">
        <v>25</v>
      </c>
      <c r="M102" s="39" t="s">
        <v>378</v>
      </c>
    </row>
    <row r="103" spans="1:13" hidden="1" x14ac:dyDescent="0.15">
      <c r="A103" s="737" t="s">
        <v>172</v>
      </c>
      <c r="B103" s="738"/>
      <c r="C103" s="86">
        <f>(HLOOKUP(CONCATENATE($C$3,-1),alles!$D$1:$AA$314,(MATCH(M103,alles!$C$1:$C$314,0)),0))</f>
        <v>0</v>
      </c>
      <c r="D103" s="87">
        <f>(HLOOKUP(CONCATENATE($C$3,-2),alles!$D$1:$AA$314,(MATCH(M103,alles!$C$1:$C$314,0)),0))</f>
        <v>0</v>
      </c>
      <c r="E103" s="86">
        <f>(HLOOKUP(CONCATENATE($E$3,-1),alles!$D$1:$AA$314,(MATCH(M103,alles!$C$1:$C$314,0)),0))</f>
        <v>0</v>
      </c>
      <c r="F103" s="87">
        <f>(HLOOKUP(CONCATENATE($E$3,-2),alles!$D$1:$AA$314,(MATCH(M103,alles!$C$1:$C$314,0)),0))</f>
        <v>0</v>
      </c>
      <c r="G103" s="86">
        <f>(HLOOKUP(CONCATENATE($G$3,-1),alles!$D$1:$AA$314,(MATCH(M103,alles!$C$1:$C$314,0)),0))</f>
        <v>0</v>
      </c>
      <c r="H103" s="87">
        <f>(HLOOKUP(CONCATENATE($G$3,-2),alles!$D$1:$AA$314,(MATCH(M103,alles!$C$1:$C$314,0)),0))</f>
        <v>0</v>
      </c>
      <c r="I103" s="86">
        <f>(HLOOKUP(CONCATENATE($I$3,-1),alles!$D$1:$AA$314,(MATCH(M103,alles!$C$1:$C$314,0)),0))</f>
        <v>0</v>
      </c>
      <c r="J103" s="87">
        <f>(HLOOKUP(CONCATENATE($I$3,-2),alles!$D$1:$AA$314,(MATCH(M103,alles!$C$1:$C$314,0)),0))</f>
        <v>0</v>
      </c>
      <c r="K103" s="102" t="s">
        <v>25</v>
      </c>
      <c r="M103" s="39" t="s">
        <v>379</v>
      </c>
    </row>
    <row r="104" spans="1:13" x14ac:dyDescent="0.15">
      <c r="A104" s="751" t="s">
        <v>173</v>
      </c>
      <c r="B104" s="752"/>
      <c r="C104" s="91">
        <f>(HLOOKUP(CONCATENATE($C$3,-1),alles!$D$1:$AA$314,(MATCH(M104,alles!$C$1:$C$314,0)),0))</f>
        <v>344</v>
      </c>
      <c r="D104" s="92">
        <f>(HLOOKUP(CONCATENATE($C$3,-2),alles!$D$1:$AA$314,(MATCH(M104,alles!$C$1:$C$314,0)),0))</f>
        <v>141.76</v>
      </c>
      <c r="E104" s="91">
        <f>(HLOOKUP(CONCATENATE($E$3,-1),alles!$D$1:$AA$314,(MATCH(M104,alles!$C$1:$C$314,0)),0))</f>
        <v>1514.68</v>
      </c>
      <c r="F104" s="92">
        <f>(HLOOKUP(CONCATENATE($E$3,-2),alles!$D$1:$AA$314,(MATCH(M104,alles!$C$1:$C$314,0)),0))</f>
        <v>0</v>
      </c>
      <c r="G104" s="91">
        <f>(HLOOKUP(CONCATENATE($G$3,-1),alles!$D$1:$AA$314,(MATCH(M104,alles!$C$1:$C$314,0)),0))</f>
        <v>2072.25</v>
      </c>
      <c r="H104" s="92">
        <f>(HLOOKUP(CONCATENATE($G$3,-2),alles!$D$1:$AA$314,(MATCH(M104,alles!$C$1:$C$314,0)),0))</f>
        <v>1326.32</v>
      </c>
      <c r="I104" s="91">
        <f>(HLOOKUP(CONCATENATE($I$3,-1),alles!$D$1:$AA$314,(MATCH(M104,alles!$C$1:$C$314,0)),0))</f>
        <v>1698.12</v>
      </c>
      <c r="J104" s="92">
        <f>(HLOOKUP(CONCATENATE($I$3,-2),alles!$D$1:$AA$314,(MATCH(M104,alles!$C$1:$C$314,0)),0))</f>
        <v>740.36</v>
      </c>
      <c r="K104" s="103" t="s">
        <v>25</v>
      </c>
      <c r="M104" s="39" t="s">
        <v>380</v>
      </c>
    </row>
    <row r="105" spans="1:13" x14ac:dyDescent="0.15">
      <c r="A105" s="691"/>
      <c r="B105" s="691"/>
      <c r="C105" s="698"/>
      <c r="D105" s="698"/>
      <c r="E105" s="698"/>
      <c r="F105" s="698"/>
      <c r="G105" s="698"/>
      <c r="H105" s="698"/>
      <c r="I105" s="698"/>
      <c r="J105" s="698"/>
      <c r="K105" s="699"/>
    </row>
    <row r="106" spans="1:13" x14ac:dyDescent="0.15">
      <c r="A106" s="692"/>
      <c r="B106" s="692"/>
      <c r="C106" s="697"/>
      <c r="D106" s="697"/>
      <c r="E106" s="697"/>
      <c r="F106" s="697"/>
      <c r="G106" s="697"/>
      <c r="H106" s="697"/>
      <c r="I106" s="697"/>
      <c r="J106" s="697"/>
      <c r="K106" s="68"/>
    </row>
    <row r="107" spans="1:13" x14ac:dyDescent="0.15">
      <c r="A107" s="692"/>
      <c r="B107" s="692"/>
      <c r="C107" s="697"/>
      <c r="D107" s="697"/>
      <c r="E107" s="697"/>
      <c r="F107" s="697"/>
      <c r="G107" s="697"/>
      <c r="H107" s="697"/>
      <c r="I107" s="697"/>
      <c r="J107" s="697"/>
      <c r="K107" s="68"/>
    </row>
    <row r="108" spans="1:13" x14ac:dyDescent="0.15">
      <c r="A108" s="692"/>
      <c r="B108" s="692"/>
      <c r="C108" s="697"/>
      <c r="D108" s="697"/>
      <c r="E108" s="697"/>
      <c r="F108" s="697"/>
      <c r="G108" s="697"/>
      <c r="H108" s="697"/>
      <c r="I108" s="697"/>
      <c r="J108" s="697"/>
      <c r="K108" s="68"/>
    </row>
    <row r="109" spans="1:13" x14ac:dyDescent="0.15">
      <c r="A109" s="692"/>
      <c r="B109" s="692"/>
      <c r="C109" s="697"/>
      <c r="D109" s="697"/>
      <c r="E109" s="697"/>
      <c r="F109" s="697"/>
      <c r="G109" s="697"/>
      <c r="H109" s="697"/>
      <c r="I109" s="697"/>
      <c r="J109" s="697"/>
      <c r="K109" s="68"/>
    </row>
    <row r="110" spans="1:13" x14ac:dyDescent="0.15">
      <c r="A110" s="692"/>
      <c r="B110" s="692"/>
      <c r="C110" s="697"/>
      <c r="D110" s="697"/>
      <c r="E110" s="697"/>
      <c r="F110" s="697"/>
      <c r="G110" s="697"/>
      <c r="H110" s="697"/>
      <c r="I110" s="697"/>
      <c r="J110" s="697"/>
      <c r="K110" s="68"/>
    </row>
    <row r="111" spans="1:13" x14ac:dyDescent="0.15">
      <c r="A111" s="692"/>
      <c r="B111" s="692"/>
      <c r="C111" s="697"/>
      <c r="D111" s="697"/>
      <c r="E111" s="697"/>
      <c r="F111" s="697"/>
      <c r="G111" s="697"/>
      <c r="H111" s="697"/>
      <c r="I111" s="697"/>
      <c r="J111" s="697"/>
      <c r="K111" s="68"/>
    </row>
    <row r="112" spans="1:13" x14ac:dyDescent="0.15">
      <c r="A112" s="692"/>
      <c r="B112" s="692"/>
      <c r="C112" s="697"/>
      <c r="D112" s="697"/>
      <c r="E112" s="697"/>
      <c r="F112" s="697"/>
      <c r="G112" s="697"/>
      <c r="H112" s="697"/>
      <c r="I112" s="697"/>
      <c r="J112" s="697"/>
      <c r="K112" s="68"/>
    </row>
    <row r="113" spans="1:13" x14ac:dyDescent="0.15">
      <c r="A113" s="692"/>
      <c r="B113" s="692"/>
      <c r="C113" s="697"/>
      <c r="D113" s="697"/>
      <c r="E113" s="697"/>
      <c r="F113" s="697"/>
      <c r="G113" s="697"/>
      <c r="H113" s="697"/>
      <c r="I113" s="697"/>
      <c r="J113" s="697"/>
      <c r="K113" s="68"/>
    </row>
    <row r="114" spans="1:13" x14ac:dyDescent="0.15">
      <c r="A114" s="692"/>
      <c r="B114" s="692"/>
      <c r="C114" s="697"/>
      <c r="D114" s="697"/>
      <c r="E114" s="697"/>
      <c r="F114" s="697"/>
      <c r="G114" s="697"/>
      <c r="H114" s="697"/>
      <c r="I114" s="697"/>
      <c r="J114" s="697"/>
      <c r="K114" s="68"/>
    </row>
    <row r="115" spans="1:13" x14ac:dyDescent="0.15">
      <c r="A115" s="692"/>
      <c r="B115" s="692"/>
      <c r="C115" s="697"/>
      <c r="D115" s="697"/>
      <c r="E115" s="697"/>
      <c r="F115" s="697"/>
      <c r="G115" s="697"/>
      <c r="H115" s="697"/>
      <c r="I115" s="697"/>
      <c r="J115" s="697"/>
      <c r="K115" s="68"/>
    </row>
    <row r="116" spans="1:13" x14ac:dyDescent="0.15">
      <c r="A116" s="692"/>
      <c r="B116" s="692"/>
      <c r="C116" s="697"/>
      <c r="D116" s="697"/>
      <c r="E116" s="697"/>
      <c r="F116" s="697"/>
      <c r="G116" s="697"/>
      <c r="H116" s="697"/>
      <c r="I116" s="697"/>
      <c r="J116" s="697"/>
      <c r="K116" s="68"/>
    </row>
    <row r="117" spans="1:13" x14ac:dyDescent="0.15">
      <c r="A117" s="692"/>
      <c r="B117" s="692"/>
      <c r="C117" s="697"/>
      <c r="D117" s="697"/>
      <c r="E117" s="697"/>
      <c r="F117" s="697"/>
      <c r="G117" s="697"/>
      <c r="H117" s="697"/>
      <c r="I117" s="697"/>
      <c r="J117" s="697"/>
      <c r="K117" s="68"/>
    </row>
    <row r="118" spans="1:13" x14ac:dyDescent="0.15">
      <c r="A118" s="692"/>
      <c r="B118" s="692"/>
      <c r="C118" s="697"/>
      <c r="D118" s="697"/>
      <c r="E118" s="697"/>
      <c r="F118" s="697"/>
      <c r="G118" s="697"/>
      <c r="H118" s="697"/>
      <c r="I118" s="697"/>
      <c r="J118" s="697"/>
      <c r="K118" s="68"/>
    </row>
    <row r="119" spans="1:13" ht="13" customHeight="1" x14ac:dyDescent="0.15">
      <c r="A119" s="726" t="s">
        <v>59</v>
      </c>
      <c r="B119" s="402"/>
      <c r="C119" s="728">
        <f>C3</f>
        <v>2021</v>
      </c>
      <c r="D119" s="729"/>
      <c r="E119" s="730">
        <f>E3</f>
        <v>2023</v>
      </c>
      <c r="F119" s="731"/>
      <c r="G119" s="730">
        <f>G3</f>
        <v>2024</v>
      </c>
      <c r="H119" s="730"/>
      <c r="I119" s="732">
        <f>I3</f>
        <v>2025</v>
      </c>
      <c r="J119" s="731"/>
      <c r="K119" s="112"/>
    </row>
    <row r="120" spans="1:13" ht="12" thickBot="1" x14ac:dyDescent="0.2">
      <c r="A120" s="727"/>
      <c r="B120" s="403"/>
      <c r="C120" s="83" t="s">
        <v>18</v>
      </c>
      <c r="D120" s="84" t="s">
        <v>19</v>
      </c>
      <c r="E120" s="113" t="s">
        <v>18</v>
      </c>
      <c r="F120" s="114" t="s">
        <v>19</v>
      </c>
      <c r="G120" s="113" t="s">
        <v>18</v>
      </c>
      <c r="H120" s="114" t="s">
        <v>19</v>
      </c>
      <c r="I120" s="115" t="s">
        <v>18</v>
      </c>
      <c r="J120" s="114" t="s">
        <v>19</v>
      </c>
      <c r="K120" s="116" t="s">
        <v>20</v>
      </c>
    </row>
    <row r="121" spans="1:13" ht="11" customHeight="1" x14ac:dyDescent="0.15">
      <c r="A121" s="111" t="s">
        <v>175</v>
      </c>
      <c r="B121" s="99" t="s">
        <v>31</v>
      </c>
      <c r="C121" s="110">
        <f>C122+C127+C136</f>
        <v>107910</v>
      </c>
      <c r="D121" s="117">
        <f t="shared" ref="D121:J121" si="29">D122+D127+D136</f>
        <v>108012</v>
      </c>
      <c r="E121" s="117">
        <f t="shared" si="29"/>
        <v>126344.5</v>
      </c>
      <c r="F121" s="117">
        <f t="shared" si="29"/>
        <v>144839.5</v>
      </c>
      <c r="G121" s="117">
        <f t="shared" si="29"/>
        <v>141180</v>
      </c>
      <c r="H121" s="117">
        <f t="shared" si="29"/>
        <v>161316.26</v>
      </c>
      <c r="I121" s="117">
        <f t="shared" si="29"/>
        <v>173910</v>
      </c>
      <c r="J121" s="117">
        <f t="shared" si="29"/>
        <v>195377.5</v>
      </c>
      <c r="K121" s="119" t="s">
        <v>24</v>
      </c>
    </row>
    <row r="122" spans="1:13" ht="12" x14ac:dyDescent="0.15">
      <c r="A122" s="531" t="s">
        <v>5</v>
      </c>
      <c r="B122" s="532" t="s">
        <v>31</v>
      </c>
      <c r="C122" s="533">
        <f>SUM(C123:C126)</f>
        <v>0</v>
      </c>
      <c r="D122" s="534">
        <f t="shared" ref="D122:J122" si="30">SUM(D123:D126)</f>
        <v>0</v>
      </c>
      <c r="E122" s="534">
        <f t="shared" si="30"/>
        <v>0</v>
      </c>
      <c r="F122" s="534">
        <f t="shared" si="30"/>
        <v>0</v>
      </c>
      <c r="G122" s="534">
        <f t="shared" si="30"/>
        <v>0</v>
      </c>
      <c r="H122" s="534">
        <f t="shared" si="30"/>
        <v>0</v>
      </c>
      <c r="I122" s="534">
        <f t="shared" si="30"/>
        <v>0</v>
      </c>
      <c r="J122" s="534">
        <f t="shared" si="30"/>
        <v>0</v>
      </c>
      <c r="K122" s="532" t="s">
        <v>24</v>
      </c>
    </row>
    <row r="123" spans="1:13" x14ac:dyDescent="0.15">
      <c r="A123" s="74" t="s">
        <v>56</v>
      </c>
      <c r="B123" s="85" t="s">
        <v>47</v>
      </c>
      <c r="C123" s="118">
        <f>(HLOOKUP(CONCATENATE($C$3,-1),alles!$D$1:$AA$314,(MATCH(M123,alles!$C$1:$C$314,0)),0))</f>
        <v>0</v>
      </c>
      <c r="D123" s="253">
        <f>(HLOOKUP(CONCATENATE($C$3,-2),alles!$D$1:$AA$314,(MATCH(M123,alles!$C$1:$C$314,0)),0))</f>
        <v>0</v>
      </c>
      <c r="E123" s="118">
        <f>(HLOOKUP(CONCATENATE($E$3,-1),alles!$D$1:$AA$314,(MATCH(M123,alles!$C$1:$C$314,0)),0))</f>
        <v>0</v>
      </c>
      <c r="F123" s="253">
        <f>(HLOOKUP(CONCATENATE($E$3,-2),alles!$D$1:$AA$314,(MATCH(M123,alles!$C$1:$C$314,0)),0))</f>
        <v>0</v>
      </c>
      <c r="G123" s="118">
        <f>(HLOOKUP(CONCATENATE($G$3,-1),alles!$D$1:$AA$314,(MATCH(M123,alles!$C$1:$C$314,0)),0))</f>
        <v>0</v>
      </c>
      <c r="H123" s="253">
        <f>(HLOOKUP(CONCATENATE($G$3,-2),alles!$D$1:$AA$314,(MATCH(M123,alles!$C$1:$C$314,0)),0))</f>
        <v>0</v>
      </c>
      <c r="I123" s="118">
        <f>(HLOOKUP(CONCATENATE($I$3,-1),alles!$D$1:$AA$314,(MATCH(M123,alles!$C$1:$C$314,0)),0))</f>
        <v>0</v>
      </c>
      <c r="J123" s="253">
        <f>(HLOOKUP(CONCATENATE($I$3,-2),alles!$D$1:$AA$314,(MATCH(M123,alles!$C$1:$C$314,0)),0))</f>
        <v>0</v>
      </c>
      <c r="K123" s="85" t="s">
        <v>24</v>
      </c>
      <c r="M123" s="39" t="s">
        <v>340</v>
      </c>
    </row>
    <row r="124" spans="1:13" x14ac:dyDescent="0.15">
      <c r="A124" s="74"/>
      <c r="B124" s="85" t="s">
        <v>15</v>
      </c>
      <c r="C124" s="86">
        <f>(HLOOKUP(CONCATENATE($C$3,-1),alles!$D$1:$AA$314,(MATCH(M124,alles!$C$1:$C$314,0)),0))</f>
        <v>0</v>
      </c>
      <c r="D124" s="87">
        <f>(HLOOKUP(CONCATENATE($C$3,-2),alles!$D$1:$AA$314,(MATCH(M124,alles!$C$1:$C$314,0)),0))</f>
        <v>0</v>
      </c>
      <c r="E124" s="86">
        <f>(HLOOKUP(CONCATENATE($E$3,-1),alles!$D$1:$AA$314,(MATCH(M124,alles!$C$1:$C$314,0)),0))</f>
        <v>0</v>
      </c>
      <c r="F124" s="87">
        <f>(HLOOKUP(CONCATENATE($E$3,-2),alles!$D$1:$AA$314,(MATCH(M124,alles!$C$1:$C$314,0)),0))</f>
        <v>0</v>
      </c>
      <c r="G124" s="86">
        <f>(HLOOKUP(CONCATENATE($G$3,-1),alles!$D$1:$AA$314,(MATCH(M124,alles!$C$1:$C$314,0)),0))</f>
        <v>0</v>
      </c>
      <c r="H124" s="87">
        <f>(HLOOKUP(CONCATENATE($G$3,-2),alles!$D$1:$AA$314,(MATCH(M124,alles!$C$1:$C$314,0)),0))</f>
        <v>0</v>
      </c>
      <c r="I124" s="86">
        <f>(HLOOKUP(CONCATENATE($I$3,-1),alles!$D$1:$AA$314,(MATCH(M124,alles!$C$1:$C$314,0)),0))</f>
        <v>0</v>
      </c>
      <c r="J124" s="87">
        <f>(HLOOKUP(CONCATENATE($I$3,-2),alles!$D$1:$AA$314,(MATCH(M124,alles!$C$1:$C$314,0)),0))</f>
        <v>0</v>
      </c>
      <c r="K124" s="85" t="s">
        <v>21</v>
      </c>
      <c r="M124" s="39" t="s">
        <v>341</v>
      </c>
    </row>
    <row r="125" spans="1:13" x14ac:dyDescent="0.15">
      <c r="A125" s="74"/>
      <c r="B125" s="85" t="s">
        <v>14</v>
      </c>
      <c r="C125" s="86">
        <f>(HLOOKUP(CONCATENATE($C$3,-1),alles!$D$1:$AA$314,(MATCH(M125,alles!$C$1:$C$314,0)),0))</f>
        <v>0</v>
      </c>
      <c r="D125" s="87">
        <f>(HLOOKUP(CONCATENATE($C$3,-2),alles!$D$1:$AA$314,(MATCH(M125,alles!$C$1:$C$314,0)),0))</f>
        <v>0</v>
      </c>
      <c r="E125" s="86">
        <f>(HLOOKUP(CONCATENATE($E$3,-1),alles!$D$1:$AA$314,(MATCH(M125,alles!$C$1:$C$314,0)),0))</f>
        <v>0</v>
      </c>
      <c r="F125" s="87">
        <f>(HLOOKUP(CONCATENATE($E$3,-2),alles!$D$1:$AA$314,(MATCH(M125,alles!$C$1:$C$314,0)),0))</f>
        <v>0</v>
      </c>
      <c r="G125" s="86">
        <f>(HLOOKUP(CONCATENATE($G$3,-1),alles!$D$1:$AA$314,(MATCH(M125,alles!$C$1:$C$314,0)),0))</f>
        <v>0</v>
      </c>
      <c r="H125" s="87">
        <f>(HLOOKUP(CONCATENATE($G$3,-2),alles!$D$1:$AA$314,(MATCH(M125,alles!$C$1:$C$314,0)),0))</f>
        <v>0</v>
      </c>
      <c r="I125" s="86">
        <f>(HLOOKUP(CONCATENATE($I$3,-1),alles!$D$1:$AA$314,(MATCH(M125,alles!$C$1:$C$314,0)),0))</f>
        <v>0</v>
      </c>
      <c r="J125" s="87">
        <f>(HLOOKUP(CONCATENATE($I$3,-2),alles!$D$1:$AA$314,(MATCH(M125,alles!$C$1:$C$314,0)),0))</f>
        <v>0</v>
      </c>
      <c r="K125" s="85" t="s">
        <v>21</v>
      </c>
      <c r="M125" s="39" t="s">
        <v>342</v>
      </c>
    </row>
    <row r="126" spans="1:13" x14ac:dyDescent="0.15">
      <c r="A126" s="74"/>
      <c r="B126" s="85" t="s">
        <v>16</v>
      </c>
      <c r="C126" s="86">
        <f>(HLOOKUP(CONCATENATE($C$3,-1),alles!$D$1:$AA$314,(MATCH(M126,alles!$C$1:$C$314,0)),0))</f>
        <v>0</v>
      </c>
      <c r="D126" s="87">
        <f>(HLOOKUP(CONCATENATE($C$3,-2),alles!$D$1:$AA$314,(MATCH(M126,alles!$C$1:$C$314,0)),0))</f>
        <v>0</v>
      </c>
      <c r="E126" s="86">
        <f>(HLOOKUP(CONCATENATE($E$3,-1),alles!$D$1:$AA$314,(MATCH(M126,alles!$C$1:$C$314,0)),0))</f>
        <v>0</v>
      </c>
      <c r="F126" s="87">
        <f>(HLOOKUP(CONCATENATE($E$3,-2),alles!$D$1:$AA$314,(MATCH(M126,alles!$C$1:$C$314,0)),0))</f>
        <v>0</v>
      </c>
      <c r="G126" s="86">
        <f>(HLOOKUP(CONCATENATE($G$3,-1),alles!$D$1:$AA$314,(MATCH(M126,alles!$C$1:$C$314,0)),0))</f>
        <v>0</v>
      </c>
      <c r="H126" s="87">
        <f>(HLOOKUP(CONCATENATE($G$3,-2),alles!$D$1:$AA$314,(MATCH(M126,alles!$C$1:$C$314,0)),0))</f>
        <v>0</v>
      </c>
      <c r="I126" s="86">
        <f>(HLOOKUP(CONCATENATE($I$3,-1),alles!$D$1:$AA$314,(MATCH(M126,alles!$C$1:$C$314,0)),0))</f>
        <v>0</v>
      </c>
      <c r="J126" s="87">
        <f>(HLOOKUP(CONCATENATE($I$3,-2),alles!$D$1:$AA$314,(MATCH(M126,alles!$C$1:$C$314,0)),0))</f>
        <v>0</v>
      </c>
      <c r="K126" s="85" t="s">
        <v>21</v>
      </c>
      <c r="M126" s="39" t="s">
        <v>343</v>
      </c>
    </row>
    <row r="127" spans="1:13" ht="12" x14ac:dyDescent="0.15">
      <c r="A127" s="531" t="s">
        <v>175</v>
      </c>
      <c r="B127" s="532" t="s">
        <v>31</v>
      </c>
      <c r="C127" s="533">
        <f>SUM(C128:C135)</f>
        <v>107910</v>
      </c>
      <c r="D127" s="535">
        <f t="shared" ref="D127:J127" si="31">SUM(D128:D135)</f>
        <v>108012</v>
      </c>
      <c r="E127" s="534">
        <f t="shared" si="31"/>
        <v>126344.5</v>
      </c>
      <c r="F127" s="535">
        <f t="shared" si="31"/>
        <v>144839.5</v>
      </c>
      <c r="G127" s="534">
        <f t="shared" si="31"/>
        <v>141180</v>
      </c>
      <c r="H127" s="535">
        <f t="shared" si="31"/>
        <v>161316.26</v>
      </c>
      <c r="I127" s="534">
        <f t="shared" si="31"/>
        <v>173910</v>
      </c>
      <c r="J127" s="535">
        <f t="shared" si="31"/>
        <v>195377.5</v>
      </c>
      <c r="K127" s="532" t="s">
        <v>24</v>
      </c>
    </row>
    <row r="128" spans="1:13" x14ac:dyDescent="0.15">
      <c r="A128" s="74" t="s">
        <v>553</v>
      </c>
      <c r="B128" s="85" t="s">
        <v>47</v>
      </c>
      <c r="C128" s="86">
        <f>(HLOOKUP(CONCATENATE($C$3,-1),alles!$D$1:$AA$314,(MATCH(M128,alles!$C$1:$C$314,0)),0))</f>
        <v>93262</v>
      </c>
      <c r="D128" s="87">
        <f>(HLOOKUP(CONCATENATE($C$3,-2),alles!$D$1:$AA$314,(MATCH(M128,alles!$C$1:$C$314,0)),0))</f>
        <v>96852</v>
      </c>
      <c r="E128" s="86">
        <f>(HLOOKUP(CONCATENATE($E$3,-1),alles!$D$1:$AA$314,(MATCH(M128,alles!$C$1:$C$314,0)),0))</f>
        <v>0</v>
      </c>
      <c r="F128" s="87">
        <f>(HLOOKUP(CONCATENATE($E$3,-2),alles!$D$1:$AA$314,(MATCH(M128,alles!$C$1:$C$314,0)),0))</f>
        <v>0</v>
      </c>
      <c r="G128" s="86">
        <f>(HLOOKUP(CONCATENATE($G$3,-1),alles!$D$1:$AA$314,(MATCH(M128,alles!$C$1:$C$314,0)),0))</f>
        <v>0</v>
      </c>
      <c r="H128" s="87">
        <f>(HLOOKUP(CONCATENATE($G$3,-2),alles!$D$1:$AA$314,(MATCH(M128,alles!$C$1:$C$314,0)),0))</f>
        <v>0</v>
      </c>
      <c r="I128" s="86">
        <f>(HLOOKUP(CONCATENATE($I$3,-1),alles!$D$1:$AA$314,(MATCH(M128,alles!$C$1:$C$314,0)),0))</f>
        <v>0</v>
      </c>
      <c r="J128" s="87">
        <f>(HLOOKUP(CONCATENATE($I$3,-2),alles!$D$1:$AA$314,(MATCH(M128,alles!$C$1:$C$314,0)),0))</f>
        <v>0</v>
      </c>
      <c r="K128" s="85" t="s">
        <v>24</v>
      </c>
      <c r="M128" s="39" t="s">
        <v>555</v>
      </c>
    </row>
    <row r="129" spans="1:13" x14ac:dyDescent="0.15">
      <c r="A129" s="74" t="s">
        <v>554</v>
      </c>
      <c r="B129" s="85" t="s">
        <v>47</v>
      </c>
      <c r="C129" s="86">
        <f>(HLOOKUP(CONCATENATE($C$3,-1),alles!$D$1:$AA$314,(MATCH(M129,alles!$C$1:$C$314,0)),0))</f>
        <v>14648</v>
      </c>
      <c r="D129" s="87">
        <f>(HLOOKUP(CONCATENATE($C$3,-2),alles!$D$1:$AA$314,(MATCH(M129,alles!$C$1:$C$314,0)),0))</f>
        <v>11160</v>
      </c>
      <c r="E129" s="86">
        <f>(HLOOKUP(CONCATENATE($E$3,-1),alles!$D$1:$AA$314,(MATCH(M129,alles!$C$1:$C$314,0)),0))</f>
        <v>16972.5</v>
      </c>
      <c r="F129" s="87">
        <f>(HLOOKUP(CONCATENATE($E$3,-2),alles!$D$1:$AA$314,(MATCH(M129,alles!$C$1:$C$314,0)),0))</f>
        <v>20227.5</v>
      </c>
      <c r="G129" s="86">
        <f>(HLOOKUP(CONCATENATE($G$3,-1),alles!$D$1:$AA$314,(MATCH(M129,alles!$C$1:$C$314,0)),0))</f>
        <v>24180</v>
      </c>
      <c r="H129" s="87">
        <f>(HLOOKUP(CONCATENATE($G$3,-2),alles!$D$1:$AA$314,(MATCH(M129,alles!$C$1:$C$314,0)),0))</f>
        <v>26660</v>
      </c>
      <c r="I129" s="86">
        <f>(HLOOKUP(CONCATENATE($I$3,-1),alles!$D$1:$AA$314,(MATCH(M129,alles!$C$1:$C$314,0)),0))</f>
        <v>30225</v>
      </c>
      <c r="J129" s="87">
        <f>(HLOOKUP(CONCATENATE($I$3,-2),alles!$D$1:$AA$314,(MATCH(M129,alles!$C$1:$C$314,0)),0))</f>
        <v>36735</v>
      </c>
      <c r="K129" s="85" t="s">
        <v>24</v>
      </c>
      <c r="M129" s="39" t="s">
        <v>556</v>
      </c>
    </row>
    <row r="130" spans="1:13" x14ac:dyDescent="0.15">
      <c r="A130" s="74"/>
      <c r="B130" s="85" t="s">
        <v>15</v>
      </c>
      <c r="C130" s="86">
        <f>(HLOOKUP(CONCATENATE($C$3,-1),alles!$D$1:$AA$314,(MATCH(M130,alles!$C$1:$C$314,0)),0))</f>
        <v>0</v>
      </c>
      <c r="D130" s="87">
        <f>(HLOOKUP(CONCATENATE($C$3,-2),alles!$D$1:$AA$314,(MATCH(M130,alles!$C$1:$C$314,0)),0))</f>
        <v>0</v>
      </c>
      <c r="E130" s="86">
        <f>(HLOOKUP(CONCATENATE($E$3,-1),alles!$D$1:$AA$314,(MATCH(M130,alles!$C$1:$C$314,0)),0))</f>
        <v>54686</v>
      </c>
      <c r="F130" s="87">
        <f>(HLOOKUP(CONCATENATE($E$3,-2),alles!$D$1:$AA$314,(MATCH(M130,alles!$C$1:$C$314,0)),0))</f>
        <v>62306</v>
      </c>
      <c r="G130" s="86">
        <f>(HLOOKUP(CONCATENATE($G$3,-1),alles!$D$1:$AA$314,(MATCH(M130,alles!$C$1:$C$314,0)),0))</f>
        <v>58500</v>
      </c>
      <c r="H130" s="87">
        <f>(HLOOKUP(CONCATENATE($G$3,-2),alles!$D$1:$AA$314,(MATCH(M130,alles!$C$1:$C$314,0)),0))</f>
        <v>67328.13</v>
      </c>
      <c r="I130" s="86">
        <f>(HLOOKUP(CONCATENATE($I$3,-1),alles!$D$1:$AA$314,(MATCH(M130,alles!$C$1:$C$314,0)),0))</f>
        <v>71842.5</v>
      </c>
      <c r="J130" s="87">
        <f>(HLOOKUP(CONCATENATE($I$3,-2),alles!$D$1:$AA$314,(MATCH(M130,alles!$C$1:$C$314,0)),0))</f>
        <v>79321.25</v>
      </c>
      <c r="K130" s="85" t="s">
        <v>24</v>
      </c>
      <c r="M130" s="39" t="s">
        <v>331</v>
      </c>
    </row>
    <row r="131" spans="1:13" x14ac:dyDescent="0.15">
      <c r="A131" s="74"/>
      <c r="B131" s="85" t="s">
        <v>14</v>
      </c>
      <c r="C131" s="86">
        <f>(HLOOKUP(CONCATENATE($C$3,-1),alles!$D$1:$AA$314,(MATCH(M131,alles!$C$1:$C$314,0)),0))</f>
        <v>0</v>
      </c>
      <c r="D131" s="87">
        <f>(HLOOKUP(CONCATENATE($C$3,-2),alles!$D$1:$AA$314,(MATCH(M131,alles!$C$1:$C$314,0)),0))</f>
        <v>0</v>
      </c>
      <c r="E131" s="86">
        <f>(HLOOKUP(CONCATENATE($E$3,-1),alles!$D$1:$AA$314,(MATCH(M131,alles!$C$1:$C$314,0)),0))</f>
        <v>54686</v>
      </c>
      <c r="F131" s="87">
        <f>(HLOOKUP(CONCATENATE($E$3,-2),alles!$D$1:$AA$314,(MATCH(M131,alles!$C$1:$C$314,0)),0))</f>
        <v>62306</v>
      </c>
      <c r="G131" s="86">
        <f>(HLOOKUP(CONCATENATE($G$3,-1),alles!$D$1:$AA$314,(MATCH(M131,alles!$C$1:$C$314,0)),0))</f>
        <v>58500</v>
      </c>
      <c r="H131" s="87">
        <f>(HLOOKUP(CONCATENATE($G$3,-2),alles!$D$1:$AA$314,(MATCH(M131,alles!$C$1:$C$314,0)),0))</f>
        <v>67328.13</v>
      </c>
      <c r="I131" s="86">
        <f>(HLOOKUP(CONCATENATE($I$3,-1),alles!$D$1:$AA$314,(MATCH(M131,alles!$C$1:$C$314,0)),0))</f>
        <v>71842.5</v>
      </c>
      <c r="J131" s="87">
        <f>(HLOOKUP(CONCATENATE($I$3,-2),alles!$D$1:$AA$314,(MATCH(M131,alles!$C$1:$C$314,0)),0))</f>
        <v>79321.25</v>
      </c>
      <c r="K131" s="85" t="s">
        <v>24</v>
      </c>
      <c r="M131" s="39" t="s">
        <v>332</v>
      </c>
    </row>
    <row r="132" spans="1:13" x14ac:dyDescent="0.15">
      <c r="A132" s="74"/>
      <c r="B132" s="85" t="s">
        <v>16</v>
      </c>
      <c r="C132" s="86">
        <f>(HLOOKUP(CONCATENATE($C$3,-1),alles!$D$1:$AA$314,(MATCH(M132,alles!$C$1:$C$314,0)),0))</f>
        <v>0</v>
      </c>
      <c r="D132" s="87">
        <f>(HLOOKUP(CONCATENATE($C$3,-2),alles!$D$1:$AA$314,(MATCH(M132,alles!$C$1:$C$314,0)),0))</f>
        <v>0</v>
      </c>
      <c r="E132" s="86">
        <f>(HLOOKUP(CONCATENATE($E$3,-1),alles!$D$1:$AA$314,(MATCH(M132,alles!$C$1:$C$314,0)),0))</f>
        <v>0</v>
      </c>
      <c r="F132" s="87">
        <f>(HLOOKUP(CONCATENATE($E$3,-2),alles!$D$1:$AA$314,(MATCH(M132,alles!$C$1:$C$314,0)),0))</f>
        <v>0</v>
      </c>
      <c r="G132" s="86">
        <f>(HLOOKUP(CONCATENATE($G$3,-1),alles!$D$1:$AA$314,(MATCH(M132,alles!$C$1:$C$314,0)),0))</f>
        <v>0</v>
      </c>
      <c r="H132" s="87">
        <f>(HLOOKUP(CONCATENATE($G$3,-2),alles!$D$1:$AA$314,(MATCH(M132,alles!$C$1:$C$314,0)),0))</f>
        <v>0</v>
      </c>
      <c r="I132" s="86">
        <f>(HLOOKUP(CONCATENATE($I$3,-1),alles!$D$1:$AA$314,(MATCH(M132,alles!$C$1:$C$314,0)),0))</f>
        <v>0</v>
      </c>
      <c r="J132" s="87">
        <f>(HLOOKUP(CONCATENATE($I$3,-2),alles!$D$1:$AA$314,(MATCH(M132,alles!$C$1:$C$314,0)),0))</f>
        <v>0</v>
      </c>
      <c r="K132" s="85" t="s">
        <v>24</v>
      </c>
      <c r="M132" s="39" t="s">
        <v>333</v>
      </c>
    </row>
    <row r="133" spans="1:13" x14ac:dyDescent="0.15">
      <c r="A133" s="74" t="s">
        <v>57</v>
      </c>
      <c r="B133" s="85"/>
      <c r="C133" s="86">
        <f>(HLOOKUP(CONCATENATE($C$3,-1),alles!$D$1:$AA$314,(MATCH(M133,alles!$C$1:$C$314,0)),0))</f>
        <v>0</v>
      </c>
      <c r="D133" s="87">
        <f>(HLOOKUP(CONCATENATE($C$3,-2),alles!$D$1:$AA$314,(MATCH(M133,alles!$C$1:$C$314,0)),0))</f>
        <v>0</v>
      </c>
      <c r="E133" s="86">
        <f>(HLOOKUP(CONCATENATE($E$3,-1),alles!$D$1:$AA$314,(MATCH(M133,alles!$C$1:$C$314,0)),0))</f>
        <v>0</v>
      </c>
      <c r="F133" s="87">
        <f>(HLOOKUP(CONCATENATE($E$3,-2),alles!$D$1:$AA$314,(MATCH(M133,alles!$C$1:$C$314,0)),0))</f>
        <v>0</v>
      </c>
      <c r="G133" s="86">
        <f>(HLOOKUP(CONCATENATE($G$3,-1),alles!$D$1:$AA$314,(MATCH(M133,alles!$C$1:$C$314,0)),0))</f>
        <v>0</v>
      </c>
      <c r="H133" s="87">
        <f>(HLOOKUP(CONCATENATE($G$3,-2),alles!$D$1:$AA$314,(MATCH(M133,alles!$C$1:$C$314,0)),0))</f>
        <v>0</v>
      </c>
      <c r="I133" s="86">
        <f>(HLOOKUP(CONCATENATE($I$3,-1),alles!$D$1:$AA$314,(MATCH(M133,alles!$C$1:$C$314,0)),0))</f>
        <v>0</v>
      </c>
      <c r="J133" s="87">
        <f>(HLOOKUP(CONCATENATE($I$3,-2),alles!$D$1:$AA$314,(MATCH(M133,alles!$C$1:$C$314,0)),0))</f>
        <v>0</v>
      </c>
      <c r="K133" s="85" t="s">
        <v>24</v>
      </c>
      <c r="M133" s="39" t="s">
        <v>334</v>
      </c>
    </row>
    <row r="134" spans="1:13" x14ac:dyDescent="0.15">
      <c r="A134" s="74" t="s">
        <v>58</v>
      </c>
      <c r="B134" s="85" t="s">
        <v>47</v>
      </c>
      <c r="C134" s="86">
        <f>(HLOOKUP(CONCATENATE($C$3,-1),alles!$D$1:$AA$314,(MATCH(M134,alles!$C$1:$C$314,0)),0))</f>
        <v>0</v>
      </c>
      <c r="D134" s="87">
        <f>(HLOOKUP(CONCATENATE($C$3,-2),alles!$D$1:$AA$314,(MATCH(M134,alles!$C$1:$C$314,0)),0))</f>
        <v>0</v>
      </c>
      <c r="E134" s="86">
        <f>(HLOOKUP(CONCATENATE($E$3,-1),alles!$D$1:$AA$314,(MATCH(M134,alles!$C$1:$C$314,0)),0))</f>
        <v>0</v>
      </c>
      <c r="F134" s="87">
        <f>(HLOOKUP(CONCATENATE($E$3,-2),alles!$D$1:$AA$314,(MATCH(M134,alles!$C$1:$C$314,0)),0))</f>
        <v>0</v>
      </c>
      <c r="G134" s="86">
        <f>(HLOOKUP(CONCATENATE($G$3,-1),alles!$D$1:$AA$314,(MATCH(M134,alles!$C$1:$C$314,0)),0))</f>
        <v>0</v>
      </c>
      <c r="H134" s="87">
        <f>(HLOOKUP(CONCATENATE($G$3,-2),alles!$D$1:$AA$314,(MATCH(M134,alles!$C$1:$C$314,0)),0))</f>
        <v>0</v>
      </c>
      <c r="I134" s="86">
        <f>(HLOOKUP(CONCATENATE($I$3,-1),alles!$D$1:$AA$314,(MATCH(M134,alles!$C$1:$C$314,0)),0))</f>
        <v>0</v>
      </c>
      <c r="J134" s="87">
        <f>(HLOOKUP(CONCATENATE($I$3,-2),alles!$D$1:$AA$314,(MATCH(M134,alles!$C$1:$C$314,0)),0))</f>
        <v>0</v>
      </c>
      <c r="K134" s="85" t="s">
        <v>24</v>
      </c>
      <c r="M134" s="39" t="s">
        <v>335</v>
      </c>
    </row>
    <row r="135" spans="1:13" x14ac:dyDescent="0.15">
      <c r="A135" s="76"/>
      <c r="B135" s="90" t="s">
        <v>53</v>
      </c>
      <c r="C135" s="86">
        <f>(HLOOKUP(CONCATENATE($C$3,-1),alles!$D$1:$AA$314,(MATCH(M135,alles!$C$1:$C$314,0)),0))</f>
        <v>0</v>
      </c>
      <c r="D135" s="87">
        <f>(HLOOKUP(CONCATENATE($C$3,-2),alles!$D$1:$AA$314,(MATCH(M135,alles!$C$1:$C$314,0)),0))</f>
        <v>0</v>
      </c>
      <c r="E135" s="86">
        <f>(HLOOKUP(CONCATENATE($E$3,-1),alles!$D$1:$AA$314,(MATCH(M135,alles!$C$1:$C$314,0)),0))</f>
        <v>0</v>
      </c>
      <c r="F135" s="87">
        <f>(HLOOKUP(CONCATENATE($E$3,-2),alles!$D$1:$AA$314,(MATCH(M135,alles!$C$1:$C$314,0)),0))</f>
        <v>0</v>
      </c>
      <c r="G135" s="86">
        <f>(HLOOKUP(CONCATENATE($G$3,-1),alles!$D$1:$AA$314,(MATCH(M135,alles!$C$1:$C$314,0)),0))</f>
        <v>0</v>
      </c>
      <c r="H135" s="87">
        <f>(HLOOKUP(CONCATENATE($G$3,-2),alles!$D$1:$AA$314,(MATCH(M135,alles!$C$1:$C$314,0)),0))</f>
        <v>0</v>
      </c>
      <c r="I135" s="86">
        <f>(HLOOKUP(CONCATENATE($I$3,-1),alles!$D$1:$AA$314,(MATCH(M135,alles!$C$1:$C$314,0)),0))</f>
        <v>0</v>
      </c>
      <c r="J135" s="87">
        <f>(HLOOKUP(CONCATENATE($I$3,-2),alles!$D$1:$AA$314,(MATCH(M135,alles!$C$1:$C$314,0)),0))</f>
        <v>0</v>
      </c>
      <c r="K135" s="90" t="s">
        <v>24</v>
      </c>
      <c r="M135" s="39" t="s">
        <v>336</v>
      </c>
    </row>
    <row r="136" spans="1:13" ht="12" x14ac:dyDescent="0.15">
      <c r="A136" s="531" t="s">
        <v>6</v>
      </c>
      <c r="B136" s="532" t="s">
        <v>31</v>
      </c>
      <c r="C136" s="533">
        <f>SUM(C137:C147)</f>
        <v>0</v>
      </c>
      <c r="D136" s="534">
        <f t="shared" ref="D136:J136" si="32">SUM(D137:D147)</f>
        <v>0</v>
      </c>
      <c r="E136" s="534">
        <f t="shared" si="32"/>
        <v>0</v>
      </c>
      <c r="F136" s="534">
        <f t="shared" si="32"/>
        <v>0</v>
      </c>
      <c r="G136" s="534">
        <f t="shared" si="32"/>
        <v>0</v>
      </c>
      <c r="H136" s="534">
        <f t="shared" si="32"/>
        <v>0</v>
      </c>
      <c r="I136" s="534">
        <f t="shared" si="32"/>
        <v>0</v>
      </c>
      <c r="J136" s="534">
        <f t="shared" si="32"/>
        <v>0</v>
      </c>
      <c r="K136" s="532" t="s">
        <v>24</v>
      </c>
    </row>
    <row r="137" spans="1:13" ht="12" x14ac:dyDescent="0.15">
      <c r="A137" s="88" t="s">
        <v>46</v>
      </c>
      <c r="B137" s="85" t="s">
        <v>47</v>
      </c>
      <c r="C137" s="118">
        <f>(HLOOKUP(CONCATENATE($C$3,-1),alles!$D$1:$AA$314,(MATCH(M137,alles!$C$1:$C$314,0)),0))</f>
        <v>0</v>
      </c>
      <c r="D137" s="253">
        <f>(HLOOKUP(CONCATENATE($C$3,-2),alles!$D$1:$AA$314,(MATCH(M137,alles!$C$1:$C$314,0)),0))</f>
        <v>0</v>
      </c>
      <c r="E137" s="118">
        <f>(HLOOKUP(CONCATENATE($E$3,-1),alles!$D$1:$AA$314,(MATCH(M137,alles!$C$1:$C$314,0)),0))</f>
        <v>0</v>
      </c>
      <c r="F137" s="253">
        <f>(HLOOKUP(CONCATENATE($E$3,-2),alles!$D$1:$AA$314,(MATCH(M137,alles!$C$1:$C$314,0)),0))</f>
        <v>0</v>
      </c>
      <c r="G137" s="118">
        <f>(HLOOKUP(CONCATENATE($G$3,-1),alles!$D$1:$AA$314,(MATCH(M137,alles!$C$1:$C$314,0)),0))</f>
        <v>0</v>
      </c>
      <c r="H137" s="253">
        <f>(HLOOKUP(CONCATENATE($G$3,-2),alles!$D$1:$AA$314,(MATCH(M137,alles!$C$1:$C$314,0)),0))</f>
        <v>0</v>
      </c>
      <c r="I137" s="118">
        <f>(HLOOKUP(CONCATENATE($I$3,-1),alles!$D$1:$AA$314,(MATCH(M137,alles!$C$1:$C$314,0)),0))</f>
        <v>0</v>
      </c>
      <c r="J137" s="253">
        <f>(HLOOKUP(CONCATENATE($I$3,-2),alles!$D$1:$AA$314,(MATCH(M137,alles!$C$1:$C$314,0)),0))</f>
        <v>0</v>
      </c>
      <c r="K137" s="85" t="s">
        <v>24</v>
      </c>
      <c r="M137" s="39" t="s">
        <v>344</v>
      </c>
    </row>
    <row r="138" spans="1:13" x14ac:dyDescent="0.15">
      <c r="A138" s="74"/>
      <c r="B138" s="85" t="s">
        <v>14</v>
      </c>
      <c r="C138" s="86">
        <f>(HLOOKUP(CONCATENATE($C$3,-1),alles!$D$1:$AA$314,(MATCH(M138,alles!$C$1:$C$314,0)),0))</f>
        <v>0</v>
      </c>
      <c r="D138" s="87">
        <f>(HLOOKUP(CONCATENATE($C$3,-2),alles!$D$1:$AA$314,(MATCH(M138,alles!$C$1:$C$314,0)),0))</f>
        <v>0</v>
      </c>
      <c r="E138" s="86">
        <f>(HLOOKUP(CONCATENATE($E$3,-1),alles!$D$1:$AA$314,(MATCH(M138,alles!$C$1:$C$314,0)),0))</f>
        <v>0</v>
      </c>
      <c r="F138" s="87">
        <f>(HLOOKUP(CONCATENATE($E$3,-2),alles!$D$1:$AA$314,(MATCH(M138,alles!$C$1:$C$314,0)),0))</f>
        <v>0</v>
      </c>
      <c r="G138" s="86">
        <f>(HLOOKUP(CONCATENATE($G$3,-1),alles!$D$1:$AA$314,(MATCH(M138,alles!$C$1:$C$314,0)),0))</f>
        <v>0</v>
      </c>
      <c r="H138" s="87">
        <f>(HLOOKUP(CONCATENATE($G$3,-2),alles!$D$1:$AA$314,(MATCH(M138,alles!$C$1:$C$314,0)),0))</f>
        <v>0</v>
      </c>
      <c r="I138" s="86">
        <f>(HLOOKUP(CONCATENATE($I$3,-1),alles!$D$1:$AA$314,(MATCH(M138,alles!$C$1:$C$314,0)),0))</f>
        <v>0</v>
      </c>
      <c r="J138" s="87">
        <f>(HLOOKUP(CONCATENATE($I$3,-2),alles!$D$1:$AA$314,(MATCH(M138,alles!$C$1:$C$314,0)),0))</f>
        <v>0</v>
      </c>
      <c r="K138" s="85" t="s">
        <v>24</v>
      </c>
      <c r="M138" s="39" t="s">
        <v>345</v>
      </c>
    </row>
    <row r="139" spans="1:13" x14ac:dyDescent="0.15">
      <c r="A139" s="74"/>
      <c r="B139" s="85" t="s">
        <v>48</v>
      </c>
      <c r="C139" s="86">
        <f>(HLOOKUP(CONCATENATE($C$3,-1),alles!$D$1:$AA$314,(MATCH(M139,alles!$C$1:$C$314,0)),0))</f>
        <v>0</v>
      </c>
      <c r="D139" s="87">
        <f>(HLOOKUP(CONCATENATE($C$3,-2),alles!$D$1:$AA$314,(MATCH(M139,alles!$C$1:$C$314,0)),0))</f>
        <v>0</v>
      </c>
      <c r="E139" s="86">
        <f>(HLOOKUP(CONCATENATE($E$3,-1),alles!$D$1:$AA$314,(MATCH(M139,alles!$C$1:$C$314,0)),0))</f>
        <v>0</v>
      </c>
      <c r="F139" s="87">
        <f>(HLOOKUP(CONCATENATE($E$3,-2),alles!$D$1:$AA$314,(MATCH(M139,alles!$C$1:$C$314,0)),0))</f>
        <v>0</v>
      </c>
      <c r="G139" s="86">
        <f>(HLOOKUP(CONCATENATE($G$3,-1),alles!$D$1:$AA$314,(MATCH(M139,alles!$C$1:$C$314,0)),0))</f>
        <v>0</v>
      </c>
      <c r="H139" s="87">
        <f>(HLOOKUP(CONCATENATE($G$3,-2),alles!$D$1:$AA$314,(MATCH(M139,alles!$C$1:$C$314,0)),0))</f>
        <v>0</v>
      </c>
      <c r="I139" s="86">
        <f>(HLOOKUP(CONCATENATE($I$3,-1),alles!$D$1:$AA$314,(MATCH(M139,alles!$C$1:$C$314,0)),0))</f>
        <v>0</v>
      </c>
      <c r="J139" s="87">
        <f>(HLOOKUP(CONCATENATE($I$3,-2),alles!$D$1:$AA$314,(MATCH(M139,alles!$C$1:$C$314,0)),0))</f>
        <v>0</v>
      </c>
      <c r="K139" s="85" t="s">
        <v>24</v>
      </c>
      <c r="M139" s="39" t="s">
        <v>346</v>
      </c>
    </row>
    <row r="140" spans="1:13" x14ac:dyDescent="0.15">
      <c r="A140" s="74"/>
      <c r="B140" s="85" t="s">
        <v>49</v>
      </c>
      <c r="C140" s="86">
        <f>(HLOOKUP(CONCATENATE($C$3,-1),alles!$D$1:$AA$314,(MATCH(M140,alles!$C$1:$C$314,0)),0))</f>
        <v>0</v>
      </c>
      <c r="D140" s="87">
        <f>(HLOOKUP(CONCATENATE($C$3,-2),alles!$D$1:$AA$314,(MATCH(M140,alles!$C$1:$C$314,0)),0))</f>
        <v>0</v>
      </c>
      <c r="E140" s="86">
        <f>(HLOOKUP(CONCATENATE($E$3,-1),alles!$D$1:$AA$314,(MATCH(M140,alles!$C$1:$C$314,0)),0))</f>
        <v>0</v>
      </c>
      <c r="F140" s="87">
        <f>(HLOOKUP(CONCATENATE($E$3,-2),alles!$D$1:$AA$314,(MATCH(M140,alles!$C$1:$C$314,0)),0))</f>
        <v>0</v>
      </c>
      <c r="G140" s="86">
        <f>(HLOOKUP(CONCATENATE($G$3,-1),alles!$D$1:$AA$314,(MATCH(M140,alles!$C$1:$C$314,0)),0))</f>
        <v>0</v>
      </c>
      <c r="H140" s="87">
        <f>(HLOOKUP(CONCATENATE($G$3,-2),alles!$D$1:$AA$314,(MATCH(M140,alles!$C$1:$C$314,0)),0))</f>
        <v>0</v>
      </c>
      <c r="I140" s="86">
        <f>(HLOOKUP(CONCATENATE($I$3,-1),alles!$D$1:$AA$314,(MATCH(M140,alles!$C$1:$C$314,0)),0))</f>
        <v>0</v>
      </c>
      <c r="J140" s="87">
        <f>(HLOOKUP(CONCATENATE($I$3,-2),alles!$D$1:$AA$314,(MATCH(M140,alles!$C$1:$C$314,0)),0))</f>
        <v>0</v>
      </c>
      <c r="K140" s="85" t="s">
        <v>24</v>
      </c>
      <c r="M140" s="39" t="s">
        <v>347</v>
      </c>
    </row>
    <row r="141" spans="1:13" x14ac:dyDescent="0.15">
      <c r="A141" s="74"/>
      <c r="B141" s="85" t="s">
        <v>142</v>
      </c>
      <c r="C141" s="86">
        <f>(HLOOKUP(CONCATENATE($C$3,-1),alles!$D$1:$AA$314,(MATCH(M141,alles!$C$1:$C$314,0)),0))</f>
        <v>0</v>
      </c>
      <c r="D141" s="87">
        <f>(HLOOKUP(CONCATENATE($C$3,-2),alles!$D$1:$AA$314,(MATCH(M141,alles!$C$1:$C$314,0)),0))</f>
        <v>0</v>
      </c>
      <c r="E141" s="86">
        <f>(HLOOKUP(CONCATENATE($E$3,-1),alles!$D$1:$AA$314,(MATCH(M141,alles!$C$1:$C$314,0)),0))</f>
        <v>0</v>
      </c>
      <c r="F141" s="87">
        <f>(HLOOKUP(CONCATENATE($E$3,-2),alles!$D$1:$AA$314,(MATCH(M141,alles!$C$1:$C$314,0)),0))</f>
        <v>0</v>
      </c>
      <c r="G141" s="86">
        <f>(HLOOKUP(CONCATENATE($G$3,-1),alles!$D$1:$AA$314,(MATCH(M141,alles!$C$1:$C$314,0)),0))</f>
        <v>0</v>
      </c>
      <c r="H141" s="87">
        <f>(HLOOKUP(CONCATENATE($G$3,-2),alles!$D$1:$AA$314,(MATCH(M141,alles!$C$1:$C$314,0)),0))</f>
        <v>0</v>
      </c>
      <c r="I141" s="86">
        <f>(HLOOKUP(CONCATENATE($I$3,-1),alles!$D$1:$AA$314,(MATCH(M141,alles!$C$1:$C$314,0)),0))</f>
        <v>0</v>
      </c>
      <c r="J141" s="87">
        <f>(HLOOKUP(CONCATENATE($I$3,-2),alles!$D$1:$AA$314,(MATCH(M141,alles!$C$1:$C$314,0)),0))</f>
        <v>0</v>
      </c>
      <c r="K141" s="85" t="s">
        <v>24</v>
      </c>
      <c r="M141" s="39" t="s">
        <v>348</v>
      </c>
    </row>
    <row r="142" spans="1:13" x14ac:dyDescent="0.15">
      <c r="A142" s="74" t="s">
        <v>50</v>
      </c>
      <c r="B142" s="85" t="s">
        <v>47</v>
      </c>
      <c r="C142" s="86">
        <f>(HLOOKUP(CONCATENATE($C$3,-1),alles!$D$1:$AA$314,(MATCH(M142,alles!$C$1:$C$314,0)),0))</f>
        <v>0</v>
      </c>
      <c r="D142" s="87">
        <f>(HLOOKUP(CONCATENATE($C$3,-2),alles!$D$1:$AA$314,(MATCH(M142,alles!$C$1:$C$314,0)),0))</f>
        <v>0</v>
      </c>
      <c r="E142" s="86">
        <f>(HLOOKUP(CONCATENATE($E$3,-1),alles!$D$1:$AA$314,(MATCH(M142,alles!$C$1:$C$314,0)),0))</f>
        <v>0</v>
      </c>
      <c r="F142" s="87">
        <f>(HLOOKUP(CONCATENATE($E$3,-2),alles!$D$1:$AA$314,(MATCH(M142,alles!$C$1:$C$314,0)),0))</f>
        <v>0</v>
      </c>
      <c r="G142" s="86">
        <f>(HLOOKUP(CONCATENATE($G$3,-1),alles!$D$1:$AA$314,(MATCH(M142,alles!$C$1:$C$314,0)),0))</f>
        <v>0</v>
      </c>
      <c r="H142" s="87">
        <f>(HLOOKUP(CONCATENATE($G$3,-2),alles!$D$1:$AA$314,(MATCH(M142,alles!$C$1:$C$314,0)),0))</f>
        <v>0</v>
      </c>
      <c r="I142" s="86">
        <f>(HLOOKUP(CONCATENATE($I$3,-1),alles!$D$1:$AA$314,(MATCH(M142,alles!$C$1:$C$314,0)),0))</f>
        <v>0</v>
      </c>
      <c r="J142" s="87">
        <f>(HLOOKUP(CONCATENATE($I$3,-2),alles!$D$1:$AA$314,(MATCH(M142,alles!$C$1:$C$314,0)),0))</f>
        <v>0</v>
      </c>
      <c r="K142" s="85" t="s">
        <v>24</v>
      </c>
      <c r="M142" s="39" t="s">
        <v>349</v>
      </c>
    </row>
    <row r="143" spans="1:13" x14ac:dyDescent="0.15">
      <c r="A143" s="74"/>
      <c r="B143" s="85" t="s">
        <v>51</v>
      </c>
      <c r="C143" s="86">
        <f>(HLOOKUP(CONCATENATE($C$3,-1),alles!$D$1:$AA$314,(MATCH(M143,alles!$C$1:$C$314,0)),0))</f>
        <v>0</v>
      </c>
      <c r="D143" s="87">
        <f>(HLOOKUP(CONCATENATE($C$3,-2),alles!$D$1:$AA$314,(MATCH(M143,alles!$C$1:$C$314,0)),0))</f>
        <v>0</v>
      </c>
      <c r="E143" s="86">
        <f>(HLOOKUP(CONCATENATE($E$3,-1),alles!$D$1:$AA$314,(MATCH(M143,alles!$C$1:$C$314,0)),0))</f>
        <v>0</v>
      </c>
      <c r="F143" s="87">
        <f>(HLOOKUP(CONCATENATE($E$3,-2),alles!$D$1:$AA$314,(MATCH(M143,alles!$C$1:$C$314,0)),0))</f>
        <v>0</v>
      </c>
      <c r="G143" s="86">
        <f>(HLOOKUP(CONCATENATE($G$3,-1),alles!$D$1:$AA$314,(MATCH(M143,alles!$C$1:$C$314,0)),0))</f>
        <v>0</v>
      </c>
      <c r="H143" s="87">
        <f>(HLOOKUP(CONCATENATE($G$3,-2),alles!$D$1:$AA$314,(MATCH(M143,alles!$C$1:$C$314,0)),0))</f>
        <v>0</v>
      </c>
      <c r="I143" s="86">
        <f>(HLOOKUP(CONCATENATE($I$3,-1),alles!$D$1:$AA$314,(MATCH(M143,alles!$C$1:$C$314,0)),0))</f>
        <v>0</v>
      </c>
      <c r="J143" s="87">
        <f>(HLOOKUP(CONCATENATE($I$3,-2),alles!$D$1:$AA$314,(MATCH(M143,alles!$C$1:$C$314,0)),0))</f>
        <v>0</v>
      </c>
      <c r="K143" s="85" t="s">
        <v>24</v>
      </c>
      <c r="M143" s="39" t="s">
        <v>350</v>
      </c>
    </row>
    <row r="144" spans="1:13" x14ac:dyDescent="0.15">
      <c r="A144" s="74"/>
      <c r="B144" s="85" t="s">
        <v>52</v>
      </c>
      <c r="C144" s="86">
        <f>(HLOOKUP(CONCATENATE($C$3,-1),alles!$D$1:$AA$314,(MATCH(M144,alles!$C$1:$C$314,0)),0))</f>
        <v>0</v>
      </c>
      <c r="D144" s="87">
        <f>(HLOOKUP(CONCATENATE($C$3,-2),alles!$D$1:$AA$314,(MATCH(M144,alles!$C$1:$C$314,0)),0))</f>
        <v>0</v>
      </c>
      <c r="E144" s="86">
        <f>(HLOOKUP(CONCATENATE($E$3,-1),alles!$D$1:$AA$314,(MATCH(M144,alles!$C$1:$C$314,0)),0))</f>
        <v>0</v>
      </c>
      <c r="F144" s="87">
        <f>(HLOOKUP(CONCATENATE($E$3,-2),alles!$D$1:$AA$314,(MATCH(M144,alles!$C$1:$C$314,0)),0))</f>
        <v>0</v>
      </c>
      <c r="G144" s="86">
        <f>(HLOOKUP(CONCATENATE($G$3,-1),alles!$D$1:$AA$314,(MATCH(M144,alles!$C$1:$C$314,0)),0))</f>
        <v>0</v>
      </c>
      <c r="H144" s="87">
        <f>(HLOOKUP(CONCATENATE($G$3,-2),alles!$D$1:$AA$314,(MATCH(M144,alles!$C$1:$C$314,0)),0))</f>
        <v>0</v>
      </c>
      <c r="I144" s="86">
        <f>(HLOOKUP(CONCATENATE($I$3,-1),alles!$D$1:$AA$314,(MATCH(M144,alles!$C$1:$C$314,0)),0))</f>
        <v>0</v>
      </c>
      <c r="J144" s="87">
        <f>(HLOOKUP(CONCATENATE($I$3,-2),alles!$D$1:$AA$314,(MATCH(M144,alles!$C$1:$C$314,0)),0))</f>
        <v>0</v>
      </c>
      <c r="K144" s="85" t="s">
        <v>24</v>
      </c>
      <c r="M144" s="39" t="s">
        <v>351</v>
      </c>
    </row>
    <row r="145" spans="1:13" x14ac:dyDescent="0.15">
      <c r="A145" s="74"/>
      <c r="B145" s="85" t="s">
        <v>53</v>
      </c>
      <c r="C145" s="86">
        <f>(HLOOKUP(CONCATENATE($C$3,-1),alles!$D$1:$AA$314,(MATCH(M145,alles!$C$1:$C$314,0)),0))</f>
        <v>0</v>
      </c>
      <c r="D145" s="87">
        <f>(HLOOKUP(CONCATENATE($C$3,-2),alles!$D$1:$AA$314,(MATCH(M145,alles!$C$1:$C$314,0)),0))</f>
        <v>0</v>
      </c>
      <c r="E145" s="86">
        <f>(HLOOKUP(CONCATENATE($E$3,-1),alles!$D$1:$AA$314,(MATCH(M145,alles!$C$1:$C$314,0)),0))</f>
        <v>0</v>
      </c>
      <c r="F145" s="87">
        <f>(HLOOKUP(CONCATENATE($E$3,-2),alles!$D$1:$AA$314,(MATCH(M145,alles!$C$1:$C$314,0)),0))</f>
        <v>0</v>
      </c>
      <c r="G145" s="86">
        <f>(HLOOKUP(CONCATENATE($G$3,-1),alles!$D$1:$AA$314,(MATCH(M145,alles!$C$1:$C$314,0)),0))</f>
        <v>0</v>
      </c>
      <c r="H145" s="87">
        <f>(HLOOKUP(CONCATENATE($G$3,-2),alles!$D$1:$AA$314,(MATCH(M145,alles!$C$1:$C$314,0)),0))</f>
        <v>0</v>
      </c>
      <c r="I145" s="86">
        <f>(HLOOKUP(CONCATENATE($I$3,-1),alles!$D$1:$AA$314,(MATCH(M145,alles!$C$1:$C$314,0)),0))</f>
        <v>0</v>
      </c>
      <c r="J145" s="87">
        <f>(HLOOKUP(CONCATENATE($I$3,-2),alles!$D$1:$AA$314,(MATCH(M145,alles!$C$1:$C$314,0)),0))</f>
        <v>0</v>
      </c>
      <c r="K145" s="85" t="s">
        <v>24</v>
      </c>
      <c r="M145" s="39" t="s">
        <v>352</v>
      </c>
    </row>
    <row r="146" spans="1:13" x14ac:dyDescent="0.15">
      <c r="A146" s="74" t="s">
        <v>54</v>
      </c>
      <c r="B146" s="85" t="s">
        <v>53</v>
      </c>
      <c r="C146" s="86">
        <f>(HLOOKUP(CONCATENATE($C$3,-1),alles!$D$1:$AA$314,(MATCH(M146,alles!$C$1:$C$314,0)),0))</f>
        <v>0</v>
      </c>
      <c r="D146" s="87">
        <f>(HLOOKUP(CONCATENATE($C$3,-2),alles!$D$1:$AA$314,(MATCH(M146,alles!$C$1:$C$314,0)),0))</f>
        <v>0</v>
      </c>
      <c r="E146" s="86">
        <f>(HLOOKUP(CONCATENATE($E$3,-1),alles!$D$1:$AA$314,(MATCH(M146,alles!$C$1:$C$314,0)),0))</f>
        <v>0</v>
      </c>
      <c r="F146" s="87">
        <f>(HLOOKUP(CONCATENATE($E$3,-2),alles!$D$1:$AA$314,(MATCH(M146,alles!$C$1:$C$314,0)),0))</f>
        <v>0</v>
      </c>
      <c r="G146" s="86">
        <f>(HLOOKUP(CONCATENATE($G$3,-1),alles!$D$1:$AA$314,(MATCH(M146,alles!$C$1:$C$314,0)),0))</f>
        <v>0</v>
      </c>
      <c r="H146" s="87">
        <f>(HLOOKUP(CONCATENATE($G$3,-2),alles!$D$1:$AA$314,(MATCH(M146,alles!$C$1:$C$314,0)),0))</f>
        <v>0</v>
      </c>
      <c r="I146" s="86">
        <f>(HLOOKUP(CONCATENATE($I$3,-1),alles!$D$1:$AA$314,(MATCH(M146,alles!$C$1:$C$314,0)),0))</f>
        <v>0</v>
      </c>
      <c r="J146" s="87">
        <f>(HLOOKUP(CONCATENATE($I$3,-2),alles!$D$1:$AA$314,(MATCH(M146,alles!$C$1:$C$314,0)),0))</f>
        <v>0</v>
      </c>
      <c r="K146" s="85" t="s">
        <v>24</v>
      </c>
      <c r="M146" s="39" t="s">
        <v>353</v>
      </c>
    </row>
    <row r="147" spans="1:13" x14ac:dyDescent="0.15">
      <c r="A147" s="74" t="s">
        <v>55</v>
      </c>
      <c r="B147" s="85" t="s">
        <v>53</v>
      </c>
      <c r="C147" s="86">
        <f>(HLOOKUP(CONCATENATE($C$3,-1),alles!$D$1:$AA$314,(MATCH(M147,alles!$C$1:$C$314,0)),0))</f>
        <v>0</v>
      </c>
      <c r="D147" s="87">
        <f>(HLOOKUP(CONCATENATE($C$3,-2),alles!$D$1:$AA$314,(MATCH(M147,alles!$C$1:$C$314,0)),0))</f>
        <v>0</v>
      </c>
      <c r="E147" s="86">
        <f>(HLOOKUP(CONCATENATE($E$3,-1),alles!$D$1:$AA$314,(MATCH(M147,alles!$C$1:$C$314,0)),0))</f>
        <v>0</v>
      </c>
      <c r="F147" s="87">
        <f>(HLOOKUP(CONCATENATE($E$3,-2),alles!$D$1:$AA$314,(MATCH(M147,alles!$C$1:$C$314,0)),0))</f>
        <v>0</v>
      </c>
      <c r="G147" s="86">
        <f>(HLOOKUP(CONCATENATE($G$3,-1),alles!$D$1:$AA$314,(MATCH(M147,alles!$C$1:$C$314,0)),0))</f>
        <v>0</v>
      </c>
      <c r="H147" s="87">
        <f>(HLOOKUP(CONCATENATE($G$3,-2),alles!$D$1:$AA$314,(MATCH(M147,alles!$C$1:$C$314,0)),0))</f>
        <v>0</v>
      </c>
      <c r="I147" s="86">
        <f>(HLOOKUP(CONCATENATE($I$3,-1),alles!$D$1:$AA$314,(MATCH(M147,alles!$C$1:$C$314,0)),0))</f>
        <v>0</v>
      </c>
      <c r="J147" s="87">
        <f>(HLOOKUP(CONCATENATE($I$3,-2),alles!$D$1:$AA$314,(MATCH(M147,alles!$C$1:$C$314,0)),0))</f>
        <v>0</v>
      </c>
      <c r="K147" s="85" t="s">
        <v>24</v>
      </c>
      <c r="M147" s="39" t="s">
        <v>354</v>
      </c>
    </row>
    <row r="148" spans="1:13" ht="12" x14ac:dyDescent="0.15">
      <c r="A148" s="111" t="s">
        <v>459</v>
      </c>
      <c r="B148" s="97" t="s">
        <v>31</v>
      </c>
      <c r="C148" s="73">
        <f t="shared" ref="C148" si="33">SUM(C149:C152)</f>
        <v>0</v>
      </c>
      <c r="D148" s="73">
        <f t="shared" ref="D148" si="34">SUM(D149:D152)</f>
        <v>0</v>
      </c>
      <c r="E148" s="73">
        <f t="shared" ref="E148" si="35">SUM(E149:E152)</f>
        <v>0</v>
      </c>
      <c r="F148" s="73">
        <f t="shared" ref="F148" si="36">SUM(F149:F152)</f>
        <v>0</v>
      </c>
      <c r="G148" s="73">
        <f t="shared" ref="G148" si="37">SUM(G149:G152)</f>
        <v>0</v>
      </c>
      <c r="H148" s="73">
        <f t="shared" ref="H148" si="38">SUM(H149:H152)</f>
        <v>0</v>
      </c>
      <c r="I148" s="73">
        <f t="shared" ref="I148" si="39">SUM(I149:I152)</f>
        <v>0</v>
      </c>
      <c r="J148" s="73">
        <f t="shared" ref="J148" si="40">SUM(J149:J152)</f>
        <v>0</v>
      </c>
      <c r="K148" s="73"/>
    </row>
    <row r="149" spans="1:13" hidden="1" x14ac:dyDescent="0.15">
      <c r="A149" s="106"/>
      <c r="B149" s="107"/>
      <c r="C149" s="94">
        <f>(HLOOKUP(CONCATENATE($C$3,-1),alles!$D$1:$AA$314,(MATCH(M149,alles!$C$1:$C$314,0)),0))</f>
        <v>0</v>
      </c>
      <c r="D149" s="95">
        <f>(HLOOKUP(CONCATENATE($C$3,-2),alles!$D$1:$AA$314,(MATCH(M149,alles!$C$1:$C$314,0)),0))</f>
        <v>0</v>
      </c>
      <c r="E149" s="94">
        <f>(HLOOKUP(CONCATENATE($E$3,-1),alles!$D$1:$AA$314,(MATCH(M149,alles!$C$1:$C$314,0)),0))</f>
        <v>0</v>
      </c>
      <c r="F149" s="95">
        <f>(HLOOKUP(CONCATENATE($E$3,-2),alles!$D$1:$AA$314,(MATCH(M149,alles!$C$1:$C$314,0)),0))</f>
        <v>0</v>
      </c>
      <c r="G149" s="94">
        <f>(HLOOKUP(CONCATENATE($G$3,-1),alles!$D$1:$AA$314,(MATCH(M149,alles!$C$1:$C$314,0)),0))</f>
        <v>0</v>
      </c>
      <c r="H149" s="95">
        <f>(HLOOKUP(CONCATENATE($G$3,-2),alles!$D$1:$AA$314,(MATCH(M149,alles!$C$1:$C$314,0)),0))</f>
        <v>0</v>
      </c>
      <c r="I149" s="94">
        <f>(HLOOKUP(CONCATENATE($I$3,-1),alles!$D$1:$AA$314,(MATCH(M149,alles!$C$1:$C$314,0)),0))</f>
        <v>0</v>
      </c>
      <c r="J149" s="95">
        <f>(HLOOKUP(CONCATENATE($I$3,-2),alles!$D$1:$AA$314,(MATCH(M149,alles!$C$1:$C$314,0)),0))</f>
        <v>0</v>
      </c>
      <c r="K149" s="73"/>
      <c r="M149" s="39" t="s">
        <v>489</v>
      </c>
    </row>
    <row r="150" spans="1:13" hidden="1" x14ac:dyDescent="0.15">
      <c r="A150" s="106"/>
      <c r="B150" s="107"/>
      <c r="C150" s="94">
        <f>(HLOOKUP(CONCATENATE($C$3,-1),alles!$D$1:$AA$314,(MATCH(M150,alles!$C$1:$C$314,0)),0))</f>
        <v>0</v>
      </c>
      <c r="D150" s="95">
        <f>(HLOOKUP(CONCATENATE($C$3,-2),alles!$D$1:$AA$314,(MATCH(M150,alles!$C$1:$C$314,0)),0))</f>
        <v>0</v>
      </c>
      <c r="E150" s="94">
        <f>(HLOOKUP(CONCATENATE($E$3,-1),alles!$D$1:$AA$314,(MATCH(M150,alles!$C$1:$C$314,0)),0))</f>
        <v>0</v>
      </c>
      <c r="F150" s="95">
        <f>(HLOOKUP(CONCATENATE($E$3,-2),alles!$D$1:$AA$314,(MATCH(M150,alles!$C$1:$C$314,0)),0))</f>
        <v>0</v>
      </c>
      <c r="G150" s="94">
        <f>(HLOOKUP(CONCATENATE($G$3,-1),alles!$D$1:$AA$314,(MATCH(M150,alles!$C$1:$C$314,0)),0))</f>
        <v>0</v>
      </c>
      <c r="H150" s="95">
        <f>(HLOOKUP(CONCATENATE($G$3,-2),alles!$D$1:$AA$314,(MATCH(M150,alles!$C$1:$C$314,0)),0))</f>
        <v>0</v>
      </c>
      <c r="I150" s="94">
        <f>(HLOOKUP(CONCATENATE($I$3,-1),alles!$D$1:$AA$314,(MATCH(M150,alles!$C$1:$C$314,0)),0))</f>
        <v>0</v>
      </c>
      <c r="J150" s="95">
        <f>(HLOOKUP(CONCATENATE($I$3,-2),alles!$D$1:$AA$314,(MATCH(M150,alles!$C$1:$C$314,0)),0))</f>
        <v>0</v>
      </c>
      <c r="K150" s="73"/>
      <c r="M150" s="39" t="s">
        <v>490</v>
      </c>
    </row>
    <row r="151" spans="1:13" hidden="1" x14ac:dyDescent="0.15">
      <c r="A151" s="106"/>
      <c r="B151" s="107"/>
      <c r="C151" s="94">
        <f>(HLOOKUP(CONCATENATE($C$3,-1),alles!$D$1:$AA$314,(MATCH(M151,alles!$C$1:$C$314,0)),0))</f>
        <v>0</v>
      </c>
      <c r="D151" s="95">
        <f>(HLOOKUP(CONCATENATE($C$3,-2),alles!$D$1:$AA$314,(MATCH(M151,alles!$C$1:$C$314,0)),0))</f>
        <v>0</v>
      </c>
      <c r="E151" s="94">
        <f>(HLOOKUP(CONCATENATE($E$3,-1),alles!$D$1:$AA$314,(MATCH(M151,alles!$C$1:$C$314,0)),0))</f>
        <v>0</v>
      </c>
      <c r="F151" s="95">
        <f>(HLOOKUP(CONCATENATE($E$3,-2),alles!$D$1:$AA$314,(MATCH(M151,alles!$C$1:$C$314,0)),0))</f>
        <v>0</v>
      </c>
      <c r="G151" s="94">
        <f>(HLOOKUP(CONCATENATE($G$3,-1),alles!$D$1:$AA$314,(MATCH(M151,alles!$C$1:$C$314,0)),0))</f>
        <v>0</v>
      </c>
      <c r="H151" s="95">
        <f>(HLOOKUP(CONCATENATE($G$3,-2),alles!$D$1:$AA$314,(MATCH(M151,alles!$C$1:$C$314,0)),0))</f>
        <v>0</v>
      </c>
      <c r="I151" s="94">
        <f>(HLOOKUP(CONCATENATE($I$3,-1),alles!$D$1:$AA$314,(MATCH(M151,alles!$C$1:$C$314,0)),0))</f>
        <v>0</v>
      </c>
      <c r="J151" s="95">
        <f>(HLOOKUP(CONCATENATE($I$3,-2),alles!$D$1:$AA$314,(MATCH(M151,alles!$C$1:$C$314,0)),0))</f>
        <v>0</v>
      </c>
      <c r="K151" s="73"/>
      <c r="M151" s="39" t="s">
        <v>491</v>
      </c>
    </row>
    <row r="152" spans="1:13" hidden="1" x14ac:dyDescent="0.15">
      <c r="A152" s="106"/>
      <c r="B152" s="107"/>
      <c r="C152" s="94">
        <f>(HLOOKUP(CONCATENATE($C$3,-1),alles!$D$1:$AA$314,(MATCH(M152,alles!$C$1:$C$314,0)),0))</f>
        <v>0</v>
      </c>
      <c r="D152" s="95">
        <f>(HLOOKUP(CONCATENATE($C$3,-2),alles!$D$1:$AA$314,(MATCH(M152,alles!$C$1:$C$314,0)),0))</f>
        <v>0</v>
      </c>
      <c r="E152" s="94">
        <f>(HLOOKUP(CONCATENATE($E$3,-1),alles!$D$1:$AA$314,(MATCH(M152,alles!$C$1:$C$314,0)),0))</f>
        <v>0</v>
      </c>
      <c r="F152" s="95">
        <f>(HLOOKUP(CONCATENATE($E$3,-2),alles!$D$1:$AA$314,(MATCH(M152,alles!$C$1:$C$314,0)),0))</f>
        <v>0</v>
      </c>
      <c r="G152" s="94">
        <f>(HLOOKUP(CONCATENATE($G$3,-1),alles!$D$1:$AA$314,(MATCH(M152,alles!$C$1:$C$314,0)),0))</f>
        <v>0</v>
      </c>
      <c r="H152" s="95">
        <f>(HLOOKUP(CONCATENATE($G$3,-2),alles!$D$1:$AA$314,(MATCH(M152,alles!$C$1:$C$314,0)),0))</f>
        <v>0</v>
      </c>
      <c r="I152" s="94">
        <f>(HLOOKUP(CONCATENATE($I$3,-1),alles!$D$1:$AA$314,(MATCH(M152,alles!$C$1:$C$314,0)),0))</f>
        <v>0</v>
      </c>
      <c r="J152" s="95">
        <f>(HLOOKUP(CONCATENATE($I$3,-2),alles!$D$1:$AA$314,(MATCH(M152,alles!$C$1:$C$314,0)),0))</f>
        <v>0</v>
      </c>
      <c r="K152" s="73"/>
      <c r="M152" s="39" t="s">
        <v>492</v>
      </c>
    </row>
    <row r="153" spans="1:13" x14ac:dyDescent="0.15">
      <c r="A153" s="536"/>
      <c r="B153" s="537"/>
      <c r="C153" s="72"/>
      <c r="D153" s="72"/>
      <c r="E153" s="72"/>
      <c r="F153" s="72"/>
      <c r="G153" s="72"/>
      <c r="H153" s="72"/>
      <c r="I153" s="72"/>
      <c r="J153" s="72"/>
      <c r="K153" s="72"/>
    </row>
    <row r="154" spans="1:13" ht="13" customHeight="1" x14ac:dyDescent="0.15">
      <c r="A154" s="726" t="s">
        <v>65</v>
      </c>
      <c r="B154" s="402"/>
      <c r="C154" s="728">
        <f>C3</f>
        <v>2021</v>
      </c>
      <c r="D154" s="729"/>
      <c r="E154" s="730">
        <f>E3</f>
        <v>2023</v>
      </c>
      <c r="F154" s="731"/>
      <c r="G154" s="730">
        <f>G3</f>
        <v>2024</v>
      </c>
      <c r="H154" s="730"/>
      <c r="I154" s="732">
        <f>I3</f>
        <v>2025</v>
      </c>
      <c r="J154" s="731"/>
      <c r="K154" s="112"/>
    </row>
    <row r="155" spans="1:13" ht="12" thickBot="1" x14ac:dyDescent="0.2">
      <c r="A155" s="727"/>
      <c r="B155" s="403"/>
      <c r="C155" s="83" t="s">
        <v>18</v>
      </c>
      <c r="D155" s="84" t="s">
        <v>19</v>
      </c>
      <c r="E155" s="113" t="s">
        <v>18</v>
      </c>
      <c r="F155" s="114" t="s">
        <v>19</v>
      </c>
      <c r="G155" s="113" t="s">
        <v>18</v>
      </c>
      <c r="H155" s="114" t="s">
        <v>19</v>
      </c>
      <c r="I155" s="115" t="s">
        <v>18</v>
      </c>
      <c r="J155" s="114" t="s">
        <v>19</v>
      </c>
      <c r="K155" s="116" t="s">
        <v>20</v>
      </c>
    </row>
    <row r="156" spans="1:13" ht="12" x14ac:dyDescent="0.15">
      <c r="A156" s="111" t="s">
        <v>446</v>
      </c>
      <c r="B156" s="97" t="s">
        <v>31</v>
      </c>
      <c r="C156" s="695">
        <f>SUM(C157:C160)</f>
        <v>0</v>
      </c>
      <c r="D156" s="696">
        <f t="shared" ref="D156:J156" si="41">SUM(D157:D160)</f>
        <v>0</v>
      </c>
      <c r="E156" s="696">
        <f t="shared" si="41"/>
        <v>0</v>
      </c>
      <c r="F156" s="696">
        <f t="shared" si="41"/>
        <v>0</v>
      </c>
      <c r="G156" s="696">
        <f t="shared" si="41"/>
        <v>0</v>
      </c>
      <c r="H156" s="696">
        <f t="shared" si="41"/>
        <v>0</v>
      </c>
      <c r="I156" s="696">
        <f t="shared" si="41"/>
        <v>0</v>
      </c>
      <c r="J156" s="695">
        <f t="shared" si="41"/>
        <v>0</v>
      </c>
      <c r="K156" s="73"/>
    </row>
    <row r="157" spans="1:13" hidden="1" x14ac:dyDescent="0.15">
      <c r="A157" s="106"/>
      <c r="B157" s="107"/>
      <c r="C157" s="94">
        <f>(HLOOKUP(CONCATENATE($C$3,-1),alles!$D$1:$AA$314,(MATCH(M157,alles!$C$1:$C$314,0)),0))</f>
        <v>0</v>
      </c>
      <c r="D157" s="95">
        <f>(HLOOKUP(CONCATENATE($C$3,-2),alles!$D$1:$AA$314,(MATCH(M157,alles!$C$1:$C$314,0)),0))</f>
        <v>0</v>
      </c>
      <c r="E157" s="94">
        <f>(HLOOKUP(CONCATENATE($E$3,-1),alles!$D$1:$AA$314,(MATCH(M157,alles!$C$1:$C$314,0)),0))</f>
        <v>0</v>
      </c>
      <c r="F157" s="95">
        <f>(HLOOKUP(CONCATENATE($E$3,-2),alles!$D$1:$AA$314,(MATCH(M157,alles!$C$1:$C$314,0)),0))</f>
        <v>0</v>
      </c>
      <c r="G157" s="94">
        <f>(HLOOKUP(CONCATENATE($G$3,-1),alles!$D$1:$AA$314,(MATCH(M157,alles!$C$1:$C$314,0)),0))</f>
        <v>0</v>
      </c>
      <c r="H157" s="95">
        <f>(HLOOKUP(CONCATENATE($G$3,-2),alles!$D$1:$AA$314,(MATCH(M157,alles!$C$1:$C$314,0)),0))</f>
        <v>0</v>
      </c>
      <c r="I157" s="94">
        <f>(HLOOKUP(CONCATENATE($I$3,-1),alles!$D$1:$AA$314,(MATCH(M157,alles!$C$1:$C$314,0)),0))</f>
        <v>0</v>
      </c>
      <c r="J157" s="95">
        <f>(HLOOKUP(CONCATENATE($I$3,-2),alles!$D$1:$AA$314,(MATCH(M157,alles!$C$1:$C$314,0)),0))</f>
        <v>0</v>
      </c>
      <c r="K157" s="73"/>
      <c r="M157" s="39" t="s">
        <v>494</v>
      </c>
    </row>
    <row r="158" spans="1:13" hidden="1" x14ac:dyDescent="0.15">
      <c r="A158" s="106"/>
      <c r="B158" s="107"/>
      <c r="C158" s="94">
        <f>(HLOOKUP(CONCATENATE($C$3,-1),alles!$D$1:$AA$314,(MATCH(M158,alles!$C$1:$C$314,0)),0))</f>
        <v>0</v>
      </c>
      <c r="D158" s="95">
        <f>(HLOOKUP(CONCATENATE($C$3,-2),alles!$D$1:$AA$314,(MATCH(M158,alles!$C$1:$C$314,0)),0))</f>
        <v>0</v>
      </c>
      <c r="E158" s="94">
        <f>(HLOOKUP(CONCATENATE($E$3,-1),alles!$D$1:$AA$314,(MATCH(M158,alles!$C$1:$C$314,0)),0))</f>
        <v>0</v>
      </c>
      <c r="F158" s="95">
        <f>(HLOOKUP(CONCATENATE($E$3,-2),alles!$D$1:$AA$314,(MATCH(M158,alles!$C$1:$C$314,0)),0))</f>
        <v>0</v>
      </c>
      <c r="G158" s="94">
        <f>(HLOOKUP(CONCATENATE($G$3,-1),alles!$D$1:$AA$314,(MATCH(M158,alles!$C$1:$C$314,0)),0))</f>
        <v>0</v>
      </c>
      <c r="H158" s="95">
        <f>(HLOOKUP(CONCATENATE($G$3,-2),alles!$D$1:$AA$314,(MATCH(M158,alles!$C$1:$C$314,0)),0))</f>
        <v>0</v>
      </c>
      <c r="I158" s="94">
        <f>(HLOOKUP(CONCATENATE($I$3,-1),alles!$D$1:$AA$314,(MATCH(M158,alles!$C$1:$C$314,0)),0))</f>
        <v>0</v>
      </c>
      <c r="J158" s="95">
        <f>(HLOOKUP(CONCATENATE($I$3,-2),alles!$D$1:$AA$314,(MATCH(M158,alles!$C$1:$C$314,0)),0))</f>
        <v>0</v>
      </c>
      <c r="K158" s="73"/>
      <c r="M158" s="39" t="s">
        <v>495</v>
      </c>
    </row>
    <row r="159" spans="1:13" hidden="1" x14ac:dyDescent="0.15">
      <c r="A159" s="106"/>
      <c r="B159" s="107"/>
      <c r="C159" s="94">
        <f>(HLOOKUP(CONCATENATE($C$3,-1),alles!$D$1:$AA$314,(MATCH(M159,alles!$C$1:$C$314,0)),0))</f>
        <v>0</v>
      </c>
      <c r="D159" s="95">
        <f>(HLOOKUP(CONCATENATE($C$3,-2),alles!$D$1:$AA$314,(MATCH(M159,alles!$C$1:$C$314,0)),0))</f>
        <v>0</v>
      </c>
      <c r="E159" s="94">
        <f>(HLOOKUP(CONCATENATE($E$3,-1),alles!$D$1:$AA$314,(MATCH(M159,alles!$C$1:$C$314,0)),0))</f>
        <v>0</v>
      </c>
      <c r="F159" s="95">
        <f>(HLOOKUP(CONCATENATE($E$3,-2),alles!$D$1:$AA$314,(MATCH(M159,alles!$C$1:$C$314,0)),0))</f>
        <v>0</v>
      </c>
      <c r="G159" s="94">
        <f>(HLOOKUP(CONCATENATE($G$3,-1),alles!$D$1:$AA$314,(MATCH(M159,alles!$C$1:$C$314,0)),0))</f>
        <v>0</v>
      </c>
      <c r="H159" s="95">
        <f>(HLOOKUP(CONCATENATE($G$3,-2),alles!$D$1:$AA$314,(MATCH(M159,alles!$C$1:$C$314,0)),0))</f>
        <v>0</v>
      </c>
      <c r="I159" s="94">
        <f>(HLOOKUP(CONCATENATE($I$3,-1),alles!$D$1:$AA$314,(MATCH(M159,alles!$C$1:$C$314,0)),0))</f>
        <v>0</v>
      </c>
      <c r="J159" s="95">
        <f>(HLOOKUP(CONCATENATE($I$3,-2),alles!$D$1:$AA$314,(MATCH(M159,alles!$C$1:$C$314,0)),0))</f>
        <v>0</v>
      </c>
      <c r="K159" s="73"/>
      <c r="M159" s="39" t="s">
        <v>496</v>
      </c>
    </row>
    <row r="160" spans="1:13" hidden="1" x14ac:dyDescent="0.15">
      <c r="A160" s="106"/>
      <c r="B160" s="107"/>
      <c r="C160" s="94">
        <f>(HLOOKUP(CONCATENATE($C$3,-1),alles!$D$1:$AA$314,(MATCH(M160,alles!$C$1:$C$314,0)),0))</f>
        <v>0</v>
      </c>
      <c r="D160" s="95">
        <f>(HLOOKUP(CONCATENATE($C$3,-2),alles!$D$1:$AA$314,(MATCH(M160,alles!$C$1:$C$314,0)),0))</f>
        <v>0</v>
      </c>
      <c r="E160" s="94">
        <f>(HLOOKUP(CONCATENATE($E$3,-1),alles!$D$1:$AA$314,(MATCH(M160,alles!$C$1:$C$314,0)),0))</f>
        <v>0</v>
      </c>
      <c r="F160" s="95">
        <f>(HLOOKUP(CONCATENATE($E$3,-2),alles!$D$1:$AA$314,(MATCH(M160,alles!$C$1:$C$314,0)),0))</f>
        <v>0</v>
      </c>
      <c r="G160" s="94">
        <f>(HLOOKUP(CONCATENATE($G$3,-1),alles!$D$1:$AA$314,(MATCH(M160,alles!$C$1:$C$314,0)),0))</f>
        <v>0</v>
      </c>
      <c r="H160" s="95">
        <f>(HLOOKUP(CONCATENATE($G$3,-2),alles!$D$1:$AA$314,(MATCH(M160,alles!$C$1:$C$314,0)),0))</f>
        <v>0</v>
      </c>
      <c r="I160" s="94">
        <f>(HLOOKUP(CONCATENATE($I$3,-1),alles!$D$1:$AA$314,(MATCH(M160,alles!$C$1:$C$314,0)),0))</f>
        <v>0</v>
      </c>
      <c r="J160" s="95">
        <f>(HLOOKUP(CONCATENATE($I$3,-2),alles!$D$1:$AA$314,(MATCH(M160,alles!$C$1:$C$314,0)),0))</f>
        <v>0</v>
      </c>
      <c r="K160" s="73"/>
      <c r="M160" s="39" t="s">
        <v>497</v>
      </c>
    </row>
    <row r="161" spans="1:13" ht="24" x14ac:dyDescent="0.15">
      <c r="A161" s="111" t="s">
        <v>447</v>
      </c>
      <c r="B161" s="97" t="s">
        <v>31</v>
      </c>
      <c r="C161" s="73">
        <f t="shared" ref="C161" si="42">SUM(C162:C165)</f>
        <v>0</v>
      </c>
      <c r="D161" s="73">
        <f t="shared" ref="D161" si="43">SUM(D162:D165)</f>
        <v>0</v>
      </c>
      <c r="E161" s="73">
        <f t="shared" ref="E161" si="44">SUM(E162:E165)</f>
        <v>0</v>
      </c>
      <c r="F161" s="73">
        <f t="shared" ref="F161" si="45">SUM(F162:F165)</f>
        <v>0</v>
      </c>
      <c r="G161" s="73">
        <f t="shared" ref="G161" si="46">SUM(G162:G165)</f>
        <v>0</v>
      </c>
      <c r="H161" s="73">
        <f t="shared" ref="H161" si="47">SUM(H162:H165)</f>
        <v>0</v>
      </c>
      <c r="I161" s="73">
        <f t="shared" ref="I161" si="48">SUM(I162:I165)</f>
        <v>0</v>
      </c>
      <c r="J161" s="73">
        <f t="shared" ref="J161" si="49">SUM(J162:J165)</f>
        <v>0</v>
      </c>
      <c r="K161" s="73"/>
    </row>
    <row r="162" spans="1:13" hidden="1" x14ac:dyDescent="0.15">
      <c r="A162" s="106"/>
      <c r="B162" s="107"/>
      <c r="C162" s="94">
        <f>(HLOOKUP(CONCATENATE($C$3,-1),alles!$D$1:$AA$314,(MATCH(M162,alles!$C$1:$C$314,0)),0))</f>
        <v>0</v>
      </c>
      <c r="D162" s="95">
        <f>(HLOOKUP(CONCATENATE($C$3,-2),alles!$D$1:$AA$314,(MATCH(M162,alles!$C$1:$C$314,0)),0))</f>
        <v>0</v>
      </c>
      <c r="E162" s="94">
        <f>(HLOOKUP(CONCATENATE($E$3,-1),alles!$D$1:$AA$314,(MATCH(M162,alles!$C$1:$C$314,0)),0))</f>
        <v>0</v>
      </c>
      <c r="F162" s="95">
        <f>(HLOOKUP(CONCATENATE($E$3,-2),alles!$D$1:$AA$314,(MATCH(M162,alles!$C$1:$C$314,0)),0))</f>
        <v>0</v>
      </c>
      <c r="G162" s="94">
        <f>(HLOOKUP(CONCATENATE($G$3,-1),alles!$D$1:$AA$314,(MATCH(M162,alles!$C$1:$C$314,0)),0))</f>
        <v>0</v>
      </c>
      <c r="H162" s="95">
        <f>(HLOOKUP(CONCATENATE($G$3,-2),alles!$D$1:$AA$314,(MATCH(M162,alles!$C$1:$C$314,0)),0))</f>
        <v>0</v>
      </c>
      <c r="I162" s="94">
        <f>(HLOOKUP(CONCATENATE($I$3,-1),alles!$D$1:$AA$314,(MATCH(M162,alles!$C$1:$C$314,0)),0))</f>
        <v>0</v>
      </c>
      <c r="J162" s="95">
        <f>(HLOOKUP(CONCATENATE($I$3,-2),alles!$D$1:$AA$314,(MATCH(M162,alles!$C$1:$C$314,0)),0))</f>
        <v>0</v>
      </c>
      <c r="K162" s="73"/>
      <c r="M162" s="39" t="s">
        <v>499</v>
      </c>
    </row>
    <row r="163" spans="1:13" hidden="1" x14ac:dyDescent="0.15">
      <c r="A163" s="106"/>
      <c r="B163" s="107"/>
      <c r="C163" s="94">
        <f>(HLOOKUP(CONCATENATE($C$3,-1),alles!$D$1:$AA$314,(MATCH(M163,alles!$C$1:$C$314,0)),0))</f>
        <v>0</v>
      </c>
      <c r="D163" s="95">
        <f>(HLOOKUP(CONCATENATE($C$3,-2),alles!$D$1:$AA$314,(MATCH(M163,alles!$C$1:$C$314,0)),0))</f>
        <v>0</v>
      </c>
      <c r="E163" s="94">
        <f>(HLOOKUP(CONCATENATE($E$3,-1),alles!$D$1:$AA$314,(MATCH(M163,alles!$C$1:$C$314,0)),0))</f>
        <v>0</v>
      </c>
      <c r="F163" s="95">
        <f>(HLOOKUP(CONCATENATE($E$3,-2),alles!$D$1:$AA$314,(MATCH(M163,alles!$C$1:$C$314,0)),0))</f>
        <v>0</v>
      </c>
      <c r="G163" s="94">
        <f>(HLOOKUP(CONCATENATE($G$3,-1),alles!$D$1:$AA$314,(MATCH(M163,alles!$C$1:$C$314,0)),0))</f>
        <v>0</v>
      </c>
      <c r="H163" s="95">
        <f>(HLOOKUP(CONCATENATE($G$3,-2),alles!$D$1:$AA$314,(MATCH(M163,alles!$C$1:$C$314,0)),0))</f>
        <v>0</v>
      </c>
      <c r="I163" s="94">
        <f>(HLOOKUP(CONCATENATE($I$3,-1),alles!$D$1:$AA$314,(MATCH(M163,alles!$C$1:$C$314,0)),0))</f>
        <v>0</v>
      </c>
      <c r="J163" s="95">
        <f>(HLOOKUP(CONCATENATE($I$3,-2),alles!$D$1:$AA$314,(MATCH(M163,alles!$C$1:$C$314,0)),0))</f>
        <v>0</v>
      </c>
      <c r="K163" s="73"/>
      <c r="M163" s="39" t="s">
        <v>500</v>
      </c>
    </row>
    <row r="164" spans="1:13" hidden="1" x14ac:dyDescent="0.15">
      <c r="A164" s="106"/>
      <c r="B164" s="107"/>
      <c r="C164" s="94">
        <f>(HLOOKUP(CONCATENATE($C$3,-1),alles!$D$1:$AA$314,(MATCH(M164,alles!$C$1:$C$314,0)),0))</f>
        <v>0</v>
      </c>
      <c r="D164" s="95">
        <f>(HLOOKUP(CONCATENATE($C$3,-2),alles!$D$1:$AA$314,(MATCH(M164,alles!$C$1:$C$314,0)),0))</f>
        <v>0</v>
      </c>
      <c r="E164" s="94">
        <f>(HLOOKUP(CONCATENATE($E$3,-1),alles!$D$1:$AA$314,(MATCH(M164,alles!$C$1:$C$314,0)),0))</f>
        <v>0</v>
      </c>
      <c r="F164" s="95">
        <f>(HLOOKUP(CONCATENATE($E$3,-2),alles!$D$1:$AA$314,(MATCH(M164,alles!$C$1:$C$314,0)),0))</f>
        <v>0</v>
      </c>
      <c r="G164" s="94">
        <f>(HLOOKUP(CONCATENATE($G$3,-1),alles!$D$1:$AA$314,(MATCH(M164,alles!$C$1:$C$314,0)),0))</f>
        <v>0</v>
      </c>
      <c r="H164" s="95">
        <f>(HLOOKUP(CONCATENATE($G$3,-2),alles!$D$1:$AA$314,(MATCH(M164,alles!$C$1:$C$314,0)),0))</f>
        <v>0</v>
      </c>
      <c r="I164" s="94">
        <f>(HLOOKUP(CONCATENATE($I$3,-1),alles!$D$1:$AA$314,(MATCH(M164,alles!$C$1:$C$314,0)),0))</f>
        <v>0</v>
      </c>
      <c r="J164" s="95">
        <f>(HLOOKUP(CONCATENATE($I$3,-2),alles!$D$1:$AA$314,(MATCH(M164,alles!$C$1:$C$314,0)),0))</f>
        <v>0</v>
      </c>
      <c r="K164" s="73"/>
      <c r="M164" s="39" t="s">
        <v>501</v>
      </c>
    </row>
    <row r="165" spans="1:13" hidden="1" x14ac:dyDescent="0.15">
      <c r="A165" s="106"/>
      <c r="B165" s="107"/>
      <c r="C165" s="94">
        <f>(HLOOKUP(CONCATENATE($C$3,-1),alles!$D$1:$AA$314,(MATCH(M165,alles!$C$1:$C$314,0)),0))</f>
        <v>0</v>
      </c>
      <c r="D165" s="95">
        <f>(HLOOKUP(CONCATENATE($C$3,-2),alles!$D$1:$AA$314,(MATCH(M165,alles!$C$1:$C$314,0)),0))</f>
        <v>0</v>
      </c>
      <c r="E165" s="94">
        <f>(HLOOKUP(CONCATENATE($E$3,-1),alles!$D$1:$AA$314,(MATCH(M165,alles!$C$1:$C$314,0)),0))</f>
        <v>0</v>
      </c>
      <c r="F165" s="95">
        <f>(HLOOKUP(CONCATENATE($E$3,-2),alles!$D$1:$AA$314,(MATCH(M165,alles!$C$1:$C$314,0)),0))</f>
        <v>0</v>
      </c>
      <c r="G165" s="94">
        <f>(HLOOKUP(CONCATENATE($G$3,-1),alles!$D$1:$AA$314,(MATCH(M165,alles!$C$1:$C$314,0)),0))</f>
        <v>0</v>
      </c>
      <c r="H165" s="95">
        <f>(HLOOKUP(CONCATENATE($G$3,-2),alles!$D$1:$AA$314,(MATCH(M165,alles!$C$1:$C$314,0)),0))</f>
        <v>0</v>
      </c>
      <c r="I165" s="94">
        <f>(HLOOKUP(CONCATENATE($I$3,-1),alles!$D$1:$AA$314,(MATCH(M165,alles!$C$1:$C$314,0)),0))</f>
        <v>0</v>
      </c>
      <c r="J165" s="95">
        <f>(HLOOKUP(CONCATENATE($I$3,-2),alles!$D$1:$AA$314,(MATCH(M165,alles!$C$1:$C$314,0)),0))</f>
        <v>0</v>
      </c>
      <c r="K165" s="73"/>
      <c r="M165" s="39" t="s">
        <v>502</v>
      </c>
    </row>
    <row r="166" spans="1:13" ht="24" x14ac:dyDescent="0.15">
      <c r="A166" s="111" t="s">
        <v>460</v>
      </c>
      <c r="B166" s="97" t="s">
        <v>31</v>
      </c>
      <c r="C166" s="73">
        <f t="shared" ref="C166" si="50">SUM(C167:C170)</f>
        <v>0</v>
      </c>
      <c r="D166" s="73">
        <f t="shared" ref="D166" si="51">SUM(D167:D170)</f>
        <v>0</v>
      </c>
      <c r="E166" s="73">
        <f t="shared" ref="E166" si="52">SUM(E167:E170)</f>
        <v>0</v>
      </c>
      <c r="F166" s="73">
        <f t="shared" ref="F166" si="53">SUM(F167:F170)</f>
        <v>0</v>
      </c>
      <c r="G166" s="73">
        <f t="shared" ref="G166" si="54">SUM(G167:G170)</f>
        <v>0</v>
      </c>
      <c r="H166" s="73">
        <f t="shared" ref="H166" si="55">SUM(H167:H170)</f>
        <v>0</v>
      </c>
      <c r="I166" s="73">
        <f t="shared" ref="I166" si="56">SUM(I167:I170)</f>
        <v>0</v>
      </c>
      <c r="J166" s="73">
        <f t="shared" ref="J166" si="57">SUM(J167:J170)</f>
        <v>0</v>
      </c>
      <c r="K166" s="73"/>
    </row>
    <row r="167" spans="1:13" hidden="1" x14ac:dyDescent="0.15">
      <c r="A167" s="106"/>
      <c r="B167" s="107"/>
      <c r="C167" s="94">
        <f>(HLOOKUP(CONCATENATE($C$3,-1),alles!$D$1:$AA$314,(MATCH(M167,alles!$C$1:$C$314,0)),0))</f>
        <v>0</v>
      </c>
      <c r="D167" s="95">
        <f>(HLOOKUP(CONCATENATE($C$3,-2),alles!$D$1:$AA$314,(MATCH(M167,alles!$C$1:$C$314,0)),0))</f>
        <v>0</v>
      </c>
      <c r="E167" s="94">
        <f>(HLOOKUP(CONCATENATE($E$3,-1),alles!$D$1:$AA$314,(MATCH(M167,alles!$C$1:$C$314,0)),0))</f>
        <v>0</v>
      </c>
      <c r="F167" s="95">
        <f>(HLOOKUP(CONCATENATE($E$3,-2),alles!$D$1:$AA$314,(MATCH(M167,alles!$C$1:$C$314,0)),0))</f>
        <v>0</v>
      </c>
      <c r="G167" s="94">
        <f>(HLOOKUP(CONCATENATE($G$3,-1),alles!$D$1:$AA$314,(MATCH(M167,alles!$C$1:$C$314,0)),0))</f>
        <v>0</v>
      </c>
      <c r="H167" s="95">
        <f>(HLOOKUP(CONCATENATE($G$3,-2),alles!$D$1:$AA$314,(MATCH(M167,alles!$C$1:$C$314,0)),0))</f>
        <v>0</v>
      </c>
      <c r="I167" s="94">
        <f>(HLOOKUP(CONCATENATE($I$3,-1),alles!$D$1:$AA$314,(MATCH(M167,alles!$C$1:$C$314,0)),0))</f>
        <v>0</v>
      </c>
      <c r="J167" s="95">
        <f>(HLOOKUP(CONCATENATE($I$3,-2),alles!$D$1:$AA$314,(MATCH(M167,alles!$C$1:$C$314,0)),0))</f>
        <v>0</v>
      </c>
      <c r="K167" s="73"/>
      <c r="M167" s="39" t="s">
        <v>504</v>
      </c>
    </row>
    <row r="168" spans="1:13" hidden="1" x14ac:dyDescent="0.15">
      <c r="A168" s="106"/>
      <c r="B168" s="107"/>
      <c r="C168" s="94">
        <f>(HLOOKUP(CONCATENATE($C$3,-1),alles!$D$1:$AA$314,(MATCH(M168,alles!$C$1:$C$314,0)),0))</f>
        <v>0</v>
      </c>
      <c r="D168" s="95">
        <f>(HLOOKUP(CONCATENATE($C$3,-2),alles!$D$1:$AA$314,(MATCH(M168,alles!$C$1:$C$314,0)),0))</f>
        <v>0</v>
      </c>
      <c r="E168" s="94">
        <f>(HLOOKUP(CONCATENATE($E$3,-1),alles!$D$1:$AA$314,(MATCH(M168,alles!$C$1:$C$314,0)),0))</f>
        <v>0</v>
      </c>
      <c r="F168" s="95">
        <f>(HLOOKUP(CONCATENATE($E$3,-2),alles!$D$1:$AA$314,(MATCH(M168,alles!$C$1:$C$314,0)),0))</f>
        <v>0</v>
      </c>
      <c r="G168" s="94">
        <f>(HLOOKUP(CONCATENATE($G$3,-1),alles!$D$1:$AA$314,(MATCH(M168,alles!$C$1:$C$314,0)),0))</f>
        <v>0</v>
      </c>
      <c r="H168" s="95">
        <f>(HLOOKUP(CONCATENATE($G$3,-2),alles!$D$1:$AA$314,(MATCH(M168,alles!$C$1:$C$314,0)),0))</f>
        <v>0</v>
      </c>
      <c r="I168" s="94">
        <f>(HLOOKUP(CONCATENATE($I$3,-1),alles!$D$1:$AA$314,(MATCH(M168,alles!$C$1:$C$314,0)),0))</f>
        <v>0</v>
      </c>
      <c r="J168" s="95">
        <f>(HLOOKUP(CONCATENATE($I$3,-2),alles!$D$1:$AA$314,(MATCH(M168,alles!$C$1:$C$314,0)),0))</f>
        <v>0</v>
      </c>
      <c r="K168" s="73"/>
      <c r="M168" s="39" t="s">
        <v>505</v>
      </c>
    </row>
    <row r="169" spans="1:13" hidden="1" x14ac:dyDescent="0.15">
      <c r="A169" s="106"/>
      <c r="B169" s="107"/>
      <c r="C169" s="94">
        <f>(HLOOKUP(CONCATENATE($C$3,-1),alles!$D$1:$AA$314,(MATCH(M169,alles!$C$1:$C$314,0)),0))</f>
        <v>0</v>
      </c>
      <c r="D169" s="95">
        <f>(HLOOKUP(CONCATENATE($C$3,-2),alles!$D$1:$AA$314,(MATCH(M169,alles!$C$1:$C$314,0)),0))</f>
        <v>0</v>
      </c>
      <c r="E169" s="94">
        <f>(HLOOKUP(CONCATENATE($E$3,-1),alles!$D$1:$AA$314,(MATCH(M169,alles!$C$1:$C$314,0)),0))</f>
        <v>0</v>
      </c>
      <c r="F169" s="95">
        <f>(HLOOKUP(CONCATENATE($E$3,-2),alles!$D$1:$AA$314,(MATCH(M169,alles!$C$1:$C$314,0)),0))</f>
        <v>0</v>
      </c>
      <c r="G169" s="94">
        <f>(HLOOKUP(CONCATENATE($G$3,-1),alles!$D$1:$AA$314,(MATCH(M169,alles!$C$1:$C$314,0)),0))</f>
        <v>0</v>
      </c>
      <c r="H169" s="95">
        <f>(HLOOKUP(CONCATENATE($G$3,-2),alles!$D$1:$AA$314,(MATCH(M169,alles!$C$1:$C$314,0)),0))</f>
        <v>0</v>
      </c>
      <c r="I169" s="94">
        <f>(HLOOKUP(CONCATENATE($I$3,-1),alles!$D$1:$AA$314,(MATCH(M169,alles!$C$1:$C$314,0)),0))</f>
        <v>0</v>
      </c>
      <c r="J169" s="95">
        <f>(HLOOKUP(CONCATENATE($I$3,-2),alles!$D$1:$AA$314,(MATCH(M169,alles!$C$1:$C$314,0)),0))</f>
        <v>0</v>
      </c>
      <c r="K169" s="73"/>
      <c r="M169" s="39" t="s">
        <v>506</v>
      </c>
    </row>
    <row r="170" spans="1:13" hidden="1" x14ac:dyDescent="0.15">
      <c r="A170" s="106"/>
      <c r="B170" s="107"/>
      <c r="C170" s="94">
        <f>(HLOOKUP(CONCATENATE($C$3,-1),alles!$D$1:$AA$314,(MATCH(M170,alles!$C$1:$C$314,0)),0))</f>
        <v>0</v>
      </c>
      <c r="D170" s="95">
        <f>(HLOOKUP(CONCATENATE($C$3,-2),alles!$D$1:$AA$314,(MATCH(M170,alles!$C$1:$C$314,0)),0))</f>
        <v>0</v>
      </c>
      <c r="E170" s="94">
        <f>(HLOOKUP(CONCATENATE($E$3,-1),alles!$D$1:$AA$314,(MATCH(M170,alles!$C$1:$C$314,0)),0))</f>
        <v>0</v>
      </c>
      <c r="F170" s="95">
        <f>(HLOOKUP(CONCATENATE($E$3,-2),alles!$D$1:$AA$314,(MATCH(M170,alles!$C$1:$C$314,0)),0))</f>
        <v>0</v>
      </c>
      <c r="G170" s="94">
        <f>(HLOOKUP(CONCATENATE($G$3,-1),alles!$D$1:$AA$314,(MATCH(M170,alles!$C$1:$C$314,0)),0))</f>
        <v>0</v>
      </c>
      <c r="H170" s="95">
        <f>(HLOOKUP(CONCATENATE($G$3,-2),alles!$D$1:$AA$314,(MATCH(M170,alles!$C$1:$C$314,0)),0))</f>
        <v>0</v>
      </c>
      <c r="I170" s="94">
        <f>(HLOOKUP(CONCATENATE($I$3,-1),alles!$D$1:$AA$314,(MATCH(M170,alles!$C$1:$C$314,0)),0))</f>
        <v>0</v>
      </c>
      <c r="J170" s="95">
        <f>(HLOOKUP(CONCATENATE($I$3,-2),alles!$D$1:$AA$314,(MATCH(M170,alles!$C$1:$C$314,0)),0))</f>
        <v>0</v>
      </c>
      <c r="K170" s="73"/>
      <c r="M170" s="39" t="s">
        <v>507</v>
      </c>
    </row>
    <row r="171" spans="1:13" ht="24" x14ac:dyDescent="0.15">
      <c r="A171" s="111" t="s">
        <v>461</v>
      </c>
      <c r="B171" s="97" t="s">
        <v>31</v>
      </c>
      <c r="C171" s="73">
        <f t="shared" ref="C171" si="58">SUM(C172:C175)</f>
        <v>0</v>
      </c>
      <c r="D171" s="73">
        <f t="shared" ref="D171" si="59">SUM(D172:D175)</f>
        <v>0</v>
      </c>
      <c r="E171" s="73">
        <f t="shared" ref="E171" si="60">SUM(E172:E175)</f>
        <v>0</v>
      </c>
      <c r="F171" s="73">
        <f t="shared" ref="F171" si="61">SUM(F172:F175)</f>
        <v>0</v>
      </c>
      <c r="G171" s="73">
        <f t="shared" ref="G171" si="62">SUM(G172:G175)</f>
        <v>0</v>
      </c>
      <c r="H171" s="73">
        <f t="shared" ref="H171" si="63">SUM(H172:H175)</f>
        <v>0</v>
      </c>
      <c r="I171" s="73">
        <f t="shared" ref="I171" si="64">SUM(I172:I175)</f>
        <v>0</v>
      </c>
      <c r="J171" s="73">
        <f t="shared" ref="J171" si="65">SUM(J172:J175)</f>
        <v>0</v>
      </c>
      <c r="K171" s="73"/>
    </row>
    <row r="172" spans="1:13" hidden="1" x14ac:dyDescent="0.15">
      <c r="A172" s="106"/>
      <c r="B172" s="107"/>
      <c r="C172" s="94">
        <f>(HLOOKUP(CONCATENATE($C$3,-1),alles!$D$1:$AA$314,(MATCH(M172,alles!$C$1:$C$314,0)),0))</f>
        <v>0</v>
      </c>
      <c r="D172" s="95">
        <f>(HLOOKUP(CONCATENATE($C$3,-2),alles!$D$1:$AA$314,(MATCH(M172,alles!$C$1:$C$314,0)),0))</f>
        <v>0</v>
      </c>
      <c r="E172" s="94">
        <f>(HLOOKUP(CONCATENATE($E$3,-1),alles!$D$1:$AA$314,(MATCH(M172,alles!$C$1:$C$314,0)),0))</f>
        <v>0</v>
      </c>
      <c r="F172" s="95">
        <f>(HLOOKUP(CONCATENATE($E$3,-2),alles!$D$1:$AA$314,(MATCH(M172,alles!$C$1:$C$314,0)),0))</f>
        <v>0</v>
      </c>
      <c r="G172" s="94">
        <f>(HLOOKUP(CONCATENATE($G$3,-1),alles!$D$1:$AA$314,(MATCH(M172,alles!$C$1:$C$314,0)),0))</f>
        <v>0</v>
      </c>
      <c r="H172" s="95">
        <f>(HLOOKUP(CONCATENATE($G$3,-2),alles!$D$1:$AA$314,(MATCH(M172,alles!$C$1:$C$314,0)),0))</f>
        <v>0</v>
      </c>
      <c r="I172" s="94">
        <f>(HLOOKUP(CONCATENATE($I$3,-1),alles!$D$1:$AA$314,(MATCH(M172,alles!$C$1:$C$314,0)),0))</f>
        <v>0</v>
      </c>
      <c r="J172" s="95">
        <f>(HLOOKUP(CONCATENATE($I$3,-2),alles!$D$1:$AA$314,(MATCH(M172,alles!$C$1:$C$314,0)),0))</f>
        <v>0</v>
      </c>
      <c r="K172" s="73"/>
      <c r="M172" s="39" t="s">
        <v>509</v>
      </c>
    </row>
    <row r="173" spans="1:13" hidden="1" x14ac:dyDescent="0.15">
      <c r="A173" s="106"/>
      <c r="B173" s="107"/>
      <c r="C173" s="94">
        <f>(HLOOKUP(CONCATENATE($C$3,-1),alles!$D$1:$AA$314,(MATCH(M173,alles!$C$1:$C$314,0)),0))</f>
        <v>0</v>
      </c>
      <c r="D173" s="95">
        <f>(HLOOKUP(CONCATENATE($C$3,-2),alles!$D$1:$AA$314,(MATCH(M173,alles!$C$1:$C$314,0)),0))</f>
        <v>0</v>
      </c>
      <c r="E173" s="94">
        <f>(HLOOKUP(CONCATENATE($E$3,-1),alles!$D$1:$AA$314,(MATCH(M173,alles!$C$1:$C$314,0)),0))</f>
        <v>0</v>
      </c>
      <c r="F173" s="95">
        <f>(HLOOKUP(CONCATENATE($E$3,-2),alles!$D$1:$AA$314,(MATCH(M173,alles!$C$1:$C$314,0)),0))</f>
        <v>0</v>
      </c>
      <c r="G173" s="94">
        <f>(HLOOKUP(CONCATENATE($G$3,-1),alles!$D$1:$AA$314,(MATCH(M173,alles!$C$1:$C$314,0)),0))</f>
        <v>0</v>
      </c>
      <c r="H173" s="95">
        <f>(HLOOKUP(CONCATENATE($G$3,-2),alles!$D$1:$AA$314,(MATCH(M173,alles!$C$1:$C$314,0)),0))</f>
        <v>0</v>
      </c>
      <c r="I173" s="94">
        <f>(HLOOKUP(CONCATENATE($I$3,-1),alles!$D$1:$AA$314,(MATCH(M173,alles!$C$1:$C$314,0)),0))</f>
        <v>0</v>
      </c>
      <c r="J173" s="95">
        <f>(HLOOKUP(CONCATENATE($I$3,-2),alles!$D$1:$AA$314,(MATCH(M173,alles!$C$1:$C$314,0)),0))</f>
        <v>0</v>
      </c>
      <c r="K173" s="73"/>
      <c r="M173" s="39" t="s">
        <v>510</v>
      </c>
    </row>
    <row r="174" spans="1:13" hidden="1" x14ac:dyDescent="0.15">
      <c r="A174" s="106"/>
      <c r="B174" s="107"/>
      <c r="C174" s="94">
        <f>(HLOOKUP(CONCATENATE($C$3,-1),alles!$D$1:$AA$314,(MATCH(M174,alles!$C$1:$C$314,0)),0))</f>
        <v>0</v>
      </c>
      <c r="D174" s="95">
        <f>(HLOOKUP(CONCATENATE($C$3,-2),alles!$D$1:$AA$314,(MATCH(M174,alles!$C$1:$C$314,0)),0))</f>
        <v>0</v>
      </c>
      <c r="E174" s="94">
        <f>(HLOOKUP(CONCATENATE($E$3,-1),alles!$D$1:$AA$314,(MATCH(M174,alles!$C$1:$C$314,0)),0))</f>
        <v>0</v>
      </c>
      <c r="F174" s="95">
        <f>(HLOOKUP(CONCATENATE($E$3,-2),alles!$D$1:$AA$314,(MATCH(M174,alles!$C$1:$C$314,0)),0))</f>
        <v>0</v>
      </c>
      <c r="G174" s="94">
        <f>(HLOOKUP(CONCATENATE($G$3,-1),alles!$D$1:$AA$314,(MATCH(M174,alles!$C$1:$C$314,0)),0))</f>
        <v>0</v>
      </c>
      <c r="H174" s="95">
        <f>(HLOOKUP(CONCATENATE($G$3,-2),alles!$D$1:$AA$314,(MATCH(M174,alles!$C$1:$C$314,0)),0))</f>
        <v>0</v>
      </c>
      <c r="I174" s="94">
        <f>(HLOOKUP(CONCATENATE($I$3,-1),alles!$D$1:$AA$314,(MATCH(M174,alles!$C$1:$C$314,0)),0))</f>
        <v>0</v>
      </c>
      <c r="J174" s="95">
        <f>(HLOOKUP(CONCATENATE($I$3,-2),alles!$D$1:$AA$314,(MATCH(M174,alles!$C$1:$C$314,0)),0))</f>
        <v>0</v>
      </c>
      <c r="K174" s="73"/>
      <c r="M174" s="39" t="s">
        <v>511</v>
      </c>
    </row>
    <row r="175" spans="1:13" hidden="1" x14ac:dyDescent="0.15">
      <c r="A175" s="106"/>
      <c r="B175" s="107"/>
      <c r="C175" s="94">
        <f>(HLOOKUP(CONCATENATE($C$3,-1),alles!$D$1:$AA$314,(MATCH(M175,alles!$C$1:$C$314,0)),0))</f>
        <v>0</v>
      </c>
      <c r="D175" s="95">
        <f>(HLOOKUP(CONCATENATE($C$3,-2),alles!$D$1:$AA$314,(MATCH(M175,alles!$C$1:$C$314,0)),0))</f>
        <v>0</v>
      </c>
      <c r="E175" s="94">
        <f>(HLOOKUP(CONCATENATE($E$3,-1),alles!$D$1:$AA$314,(MATCH(M175,alles!$C$1:$C$314,0)),0))</f>
        <v>0</v>
      </c>
      <c r="F175" s="95">
        <f>(HLOOKUP(CONCATENATE($E$3,-2),alles!$D$1:$AA$314,(MATCH(M175,alles!$C$1:$C$314,0)),0))</f>
        <v>0</v>
      </c>
      <c r="G175" s="94">
        <f>(HLOOKUP(CONCATENATE($G$3,-1),alles!$D$1:$AA$314,(MATCH(M175,alles!$C$1:$C$314,0)),0))</f>
        <v>0</v>
      </c>
      <c r="H175" s="95">
        <f>(HLOOKUP(CONCATENATE($G$3,-2),alles!$D$1:$AA$314,(MATCH(M175,alles!$C$1:$C$314,0)),0))</f>
        <v>0</v>
      </c>
      <c r="I175" s="94">
        <f>(HLOOKUP(CONCATENATE($I$3,-1),alles!$D$1:$AA$314,(MATCH(M175,alles!$C$1:$C$314,0)),0))</f>
        <v>0</v>
      </c>
      <c r="J175" s="95">
        <f>(HLOOKUP(CONCATENATE($I$3,-2),alles!$D$1:$AA$314,(MATCH(M175,alles!$C$1:$C$314,0)),0))</f>
        <v>0</v>
      </c>
      <c r="K175" s="73"/>
      <c r="M175" s="39" t="s">
        <v>512</v>
      </c>
    </row>
    <row r="176" spans="1:13" ht="11" customHeight="1" x14ac:dyDescent="0.15">
      <c r="A176" s="111" t="s">
        <v>459</v>
      </c>
      <c r="B176" s="97" t="s">
        <v>31</v>
      </c>
      <c r="C176" s="73">
        <f t="shared" ref="C176" si="66">SUM(C177:C180)</f>
        <v>0</v>
      </c>
      <c r="D176" s="73">
        <f t="shared" ref="D176" si="67">SUM(D177:D180)</f>
        <v>0</v>
      </c>
      <c r="E176" s="73">
        <f t="shared" ref="E176" si="68">SUM(E177:E180)</f>
        <v>0</v>
      </c>
      <c r="F176" s="73">
        <f t="shared" ref="F176" si="69">SUM(F177:F180)</f>
        <v>0</v>
      </c>
      <c r="G176" s="73">
        <f t="shared" ref="G176" si="70">SUM(G177:G180)</f>
        <v>0</v>
      </c>
      <c r="H176" s="73">
        <f t="shared" ref="H176" si="71">SUM(H177:H180)</f>
        <v>0</v>
      </c>
      <c r="I176" s="73">
        <f t="shared" ref="I176" si="72">SUM(I177:I180)</f>
        <v>0</v>
      </c>
      <c r="J176" s="73">
        <f t="shared" ref="J176" si="73">SUM(J177:J180)</f>
        <v>0</v>
      </c>
      <c r="K176" s="73"/>
    </row>
    <row r="177" spans="1:13" hidden="1" x14ac:dyDescent="0.15">
      <c r="A177" s="106"/>
      <c r="B177" s="107"/>
      <c r="C177" s="94">
        <f>(HLOOKUP(CONCATENATE($C$3,-1),alles!$D$1:$AA$314,(MATCH(M177,alles!$C$1:$C$314,0)),0))</f>
        <v>0</v>
      </c>
      <c r="D177" s="95">
        <f>(HLOOKUP(CONCATENATE($C$3,-2),alles!$D$1:$AA$314,(MATCH(M177,alles!$C$1:$C$314,0)),0))</f>
        <v>0</v>
      </c>
      <c r="E177" s="94">
        <f>(HLOOKUP(CONCATENATE($E$3,-1),alles!$D$1:$AA$314,(MATCH(M177,alles!$C$1:$C$314,0)),0))</f>
        <v>0</v>
      </c>
      <c r="F177" s="95">
        <f>(HLOOKUP(CONCATENATE($E$3,-2),alles!$D$1:$AA$314,(MATCH(M177,alles!$C$1:$C$314,0)),0))</f>
        <v>0</v>
      </c>
      <c r="G177" s="94">
        <f>(HLOOKUP(CONCATENATE($G$3,-1),alles!$D$1:$AA$314,(MATCH(M177,alles!$C$1:$C$314,0)),0))</f>
        <v>0</v>
      </c>
      <c r="H177" s="95">
        <f>(HLOOKUP(CONCATENATE($G$3,-2),alles!$D$1:$AA$314,(MATCH(M177,alles!$C$1:$C$314,0)),0))</f>
        <v>0</v>
      </c>
      <c r="I177" s="94">
        <f>(HLOOKUP(CONCATENATE($I$3,-1),alles!$D$1:$AA$314,(MATCH(M177,alles!$C$1:$C$314,0)),0))</f>
        <v>0</v>
      </c>
      <c r="J177" s="95">
        <f>(HLOOKUP(CONCATENATE($I$3,-2),alles!$D$1:$AA$314,(MATCH(M177,alles!$C$1:$C$314,0)),0))</f>
        <v>0</v>
      </c>
      <c r="K177" s="73"/>
      <c r="M177" s="39" t="s">
        <v>518</v>
      </c>
    </row>
    <row r="178" spans="1:13" hidden="1" x14ac:dyDescent="0.15">
      <c r="A178" s="106"/>
      <c r="B178" s="107"/>
      <c r="C178" s="94">
        <f>(HLOOKUP(CONCATENATE($C$3,-1),alles!$D$1:$AA$314,(MATCH(M178,alles!$C$1:$C$314,0)),0))</f>
        <v>0</v>
      </c>
      <c r="D178" s="95">
        <f>(HLOOKUP(CONCATENATE($C$3,-2),alles!$D$1:$AA$314,(MATCH(M178,alles!$C$1:$C$314,0)),0))</f>
        <v>0</v>
      </c>
      <c r="E178" s="94">
        <f>(HLOOKUP(CONCATENATE($E$3,-1),alles!$D$1:$AA$314,(MATCH(M178,alles!$C$1:$C$314,0)),0))</f>
        <v>0</v>
      </c>
      <c r="F178" s="95">
        <f>(HLOOKUP(CONCATENATE($E$3,-2),alles!$D$1:$AA$314,(MATCH(M178,alles!$C$1:$C$314,0)),0))</f>
        <v>0</v>
      </c>
      <c r="G178" s="94">
        <f>(HLOOKUP(CONCATENATE($G$3,-1),alles!$D$1:$AA$314,(MATCH(M178,alles!$C$1:$C$314,0)),0))</f>
        <v>0</v>
      </c>
      <c r="H178" s="95">
        <f>(HLOOKUP(CONCATENATE($G$3,-2),alles!$D$1:$AA$314,(MATCH(M178,alles!$C$1:$C$314,0)),0))</f>
        <v>0</v>
      </c>
      <c r="I178" s="94">
        <f>(HLOOKUP(CONCATENATE($I$3,-1),alles!$D$1:$AA$314,(MATCH(M178,alles!$C$1:$C$314,0)),0))</f>
        <v>0</v>
      </c>
      <c r="J178" s="95">
        <f>(HLOOKUP(CONCATENATE($I$3,-2),alles!$D$1:$AA$314,(MATCH(M178,alles!$C$1:$C$314,0)),0))</f>
        <v>0</v>
      </c>
      <c r="K178" s="73"/>
      <c r="M178" s="39" t="s">
        <v>519</v>
      </c>
    </row>
    <row r="179" spans="1:13" hidden="1" x14ac:dyDescent="0.15">
      <c r="A179" s="106"/>
      <c r="B179" s="107"/>
      <c r="C179" s="94">
        <f>(HLOOKUP(CONCATENATE($C$3,-1),alles!$D$1:$AA$314,(MATCH(M179,alles!$C$1:$C$314,0)),0))</f>
        <v>0</v>
      </c>
      <c r="D179" s="95">
        <f>(HLOOKUP(CONCATENATE($C$3,-2),alles!$D$1:$AA$314,(MATCH(M179,alles!$C$1:$C$314,0)),0))</f>
        <v>0</v>
      </c>
      <c r="E179" s="94">
        <f>(HLOOKUP(CONCATENATE($E$3,-1),alles!$D$1:$AA$314,(MATCH(M179,alles!$C$1:$C$314,0)),0))</f>
        <v>0</v>
      </c>
      <c r="F179" s="95">
        <f>(HLOOKUP(CONCATENATE($E$3,-2),alles!$D$1:$AA$314,(MATCH(M179,alles!$C$1:$C$314,0)),0))</f>
        <v>0</v>
      </c>
      <c r="G179" s="94">
        <f>(HLOOKUP(CONCATENATE($G$3,-1),alles!$D$1:$AA$314,(MATCH(M179,alles!$C$1:$C$314,0)),0))</f>
        <v>0</v>
      </c>
      <c r="H179" s="95">
        <f>(HLOOKUP(CONCATENATE($G$3,-2),alles!$D$1:$AA$314,(MATCH(M179,alles!$C$1:$C$314,0)),0))</f>
        <v>0</v>
      </c>
      <c r="I179" s="94">
        <f>(HLOOKUP(CONCATENATE($I$3,-1),alles!$D$1:$AA$314,(MATCH(M179,alles!$C$1:$C$314,0)),0))</f>
        <v>0</v>
      </c>
      <c r="J179" s="95">
        <f>(HLOOKUP(CONCATENATE($I$3,-2),alles!$D$1:$AA$314,(MATCH(M179,alles!$C$1:$C$314,0)),0))</f>
        <v>0</v>
      </c>
      <c r="K179" s="73"/>
      <c r="M179" s="39" t="s">
        <v>520</v>
      </c>
    </row>
    <row r="180" spans="1:13" hidden="1" x14ac:dyDescent="0.15">
      <c r="A180" s="106"/>
      <c r="B180" s="107"/>
      <c r="C180" s="94">
        <f>(HLOOKUP(CONCATENATE($C$3,-1),alles!$D$1:$AA$314,(MATCH(M180,alles!$C$1:$C$314,0)),0))</f>
        <v>0</v>
      </c>
      <c r="D180" s="95">
        <f>(HLOOKUP(CONCATENATE($C$3,-2),alles!$D$1:$AA$314,(MATCH(M180,alles!$C$1:$C$314,0)),0))</f>
        <v>0</v>
      </c>
      <c r="E180" s="94">
        <f>(HLOOKUP(CONCATENATE($E$3,-1),alles!$D$1:$AA$314,(MATCH(M180,alles!$C$1:$C$314,0)),0))</f>
        <v>0</v>
      </c>
      <c r="F180" s="95">
        <f>(HLOOKUP(CONCATENATE($E$3,-2),alles!$D$1:$AA$314,(MATCH(M180,alles!$C$1:$C$314,0)),0))</f>
        <v>0</v>
      </c>
      <c r="G180" s="94">
        <f>(HLOOKUP(CONCATENATE($G$3,-1),alles!$D$1:$AA$314,(MATCH(M180,alles!$C$1:$C$314,0)),0))</f>
        <v>0</v>
      </c>
      <c r="H180" s="95">
        <f>(HLOOKUP(CONCATENATE($G$3,-2),alles!$D$1:$AA$314,(MATCH(M180,alles!$C$1:$C$314,0)),0))</f>
        <v>0</v>
      </c>
      <c r="I180" s="94">
        <f>(HLOOKUP(CONCATENATE($I$3,-1),alles!$D$1:$AA$314,(MATCH(M180,alles!$C$1:$C$314,0)),0))</f>
        <v>0</v>
      </c>
      <c r="J180" s="95">
        <f>(HLOOKUP(CONCATENATE($I$3,-2),alles!$D$1:$AA$314,(MATCH(M180,alles!$C$1:$C$314,0)),0))</f>
        <v>0</v>
      </c>
      <c r="K180" s="73"/>
      <c r="M180" s="39" t="s">
        <v>521</v>
      </c>
    </row>
    <row r="181" spans="1:13" ht="12" x14ac:dyDescent="0.15">
      <c r="A181" s="111" t="s">
        <v>449</v>
      </c>
      <c r="B181" s="97" t="s">
        <v>31</v>
      </c>
      <c r="C181" s="73">
        <f t="shared" ref="C181" si="74">SUM(C182:C185)</f>
        <v>0</v>
      </c>
      <c r="D181" s="73">
        <f t="shared" ref="D181" si="75">SUM(D182:D185)</f>
        <v>0</v>
      </c>
      <c r="E181" s="73">
        <f t="shared" ref="E181" si="76">SUM(E182:E185)</f>
        <v>0</v>
      </c>
      <c r="F181" s="73">
        <f t="shared" ref="F181" si="77">SUM(F182:F185)</f>
        <v>0</v>
      </c>
      <c r="G181" s="73">
        <f t="shared" ref="G181" si="78">SUM(G182:G185)</f>
        <v>0</v>
      </c>
      <c r="H181" s="73">
        <f t="shared" ref="H181" si="79">SUM(H182:H185)</f>
        <v>0</v>
      </c>
      <c r="I181" s="73">
        <f t="shared" ref="I181" si="80">SUM(I182:I185)</f>
        <v>0</v>
      </c>
      <c r="J181" s="73">
        <f t="shared" ref="J181" si="81">SUM(J182:J185)</f>
        <v>0</v>
      </c>
      <c r="K181" s="73"/>
    </row>
    <row r="182" spans="1:13" hidden="1" x14ac:dyDescent="0.15">
      <c r="A182" s="106"/>
      <c r="B182" s="107"/>
      <c r="C182" s="94">
        <f>(HLOOKUP(CONCATENATE($C$3,-1),alles!$D$1:$AA$314,(MATCH(M182,alles!$C$1:$C$314,0)),0))</f>
        <v>0</v>
      </c>
      <c r="D182" s="95">
        <f>(HLOOKUP(CONCATENATE($C$3,-2),alles!$D$1:$AA$314,(MATCH(M182,alles!$C$1:$C$314,0)),0))</f>
        <v>0</v>
      </c>
      <c r="E182" s="94">
        <f>(HLOOKUP(CONCATENATE($E$3,-1),alles!$D$1:$AA$314,(MATCH(M182,alles!$C$1:$C$314,0)),0))</f>
        <v>0</v>
      </c>
      <c r="F182" s="95">
        <f>(HLOOKUP(CONCATENATE($E$3,-2),alles!$D$1:$AA$314,(MATCH(M182,alles!$C$1:$C$314,0)),0))</f>
        <v>0</v>
      </c>
      <c r="G182" s="94">
        <f>(HLOOKUP(CONCATENATE($G$3,-1),alles!$D$1:$AA$314,(MATCH(M182,alles!$C$1:$C$314,0)),0))</f>
        <v>0</v>
      </c>
      <c r="H182" s="95">
        <f>(HLOOKUP(CONCATENATE($G$3,-2),alles!$D$1:$AA$314,(MATCH(M182,alles!$C$1:$C$314,0)),0))</f>
        <v>0</v>
      </c>
      <c r="I182" s="94">
        <f>(HLOOKUP(CONCATENATE($I$3,-1),alles!$D$1:$AA$314,(MATCH(M182,alles!$C$1:$C$314,0)),0))</f>
        <v>0</v>
      </c>
      <c r="J182" s="95">
        <f>(HLOOKUP(CONCATENATE($I$3,-2),alles!$D$1:$AA$314,(MATCH(M182,alles!$C$1:$C$314,0)),0))</f>
        <v>0</v>
      </c>
      <c r="K182" s="73"/>
      <c r="M182" s="39" t="s">
        <v>522</v>
      </c>
    </row>
    <row r="183" spans="1:13" hidden="1" x14ac:dyDescent="0.15">
      <c r="A183" s="106"/>
      <c r="B183" s="107"/>
      <c r="C183" s="94">
        <f>(HLOOKUP(CONCATENATE($C$3,-1),alles!$D$1:$AA$314,(MATCH(M183,alles!$C$1:$C$314,0)),0))</f>
        <v>0</v>
      </c>
      <c r="D183" s="95">
        <f>(HLOOKUP(CONCATENATE($C$3,-2),alles!$D$1:$AA$314,(MATCH(M183,alles!$C$1:$C$314,0)),0))</f>
        <v>0</v>
      </c>
      <c r="E183" s="94">
        <f>(HLOOKUP(CONCATENATE($E$3,-1),alles!$D$1:$AA$314,(MATCH(M183,alles!$C$1:$C$314,0)),0))</f>
        <v>0</v>
      </c>
      <c r="F183" s="95">
        <f>(HLOOKUP(CONCATENATE($E$3,-2),alles!$D$1:$AA$314,(MATCH(M183,alles!$C$1:$C$314,0)),0))</f>
        <v>0</v>
      </c>
      <c r="G183" s="94">
        <f>(HLOOKUP(CONCATENATE($G$3,-1),alles!$D$1:$AA$314,(MATCH(M183,alles!$C$1:$C$314,0)),0))</f>
        <v>0</v>
      </c>
      <c r="H183" s="95">
        <f>(HLOOKUP(CONCATENATE($G$3,-2),alles!$D$1:$AA$314,(MATCH(M183,alles!$C$1:$C$314,0)),0))</f>
        <v>0</v>
      </c>
      <c r="I183" s="94">
        <f>(HLOOKUP(CONCATENATE($I$3,-1),alles!$D$1:$AA$314,(MATCH(M183,alles!$C$1:$C$314,0)),0))</f>
        <v>0</v>
      </c>
      <c r="J183" s="95">
        <f>(HLOOKUP(CONCATENATE($I$3,-2),alles!$D$1:$AA$314,(MATCH(M183,alles!$C$1:$C$314,0)),0))</f>
        <v>0</v>
      </c>
      <c r="K183" s="73"/>
      <c r="M183" s="39" t="s">
        <v>523</v>
      </c>
    </row>
    <row r="184" spans="1:13" hidden="1" x14ac:dyDescent="0.15">
      <c r="A184" s="106"/>
      <c r="B184" s="107"/>
      <c r="C184" s="94">
        <f>(HLOOKUP(CONCATENATE($C$3,-1),alles!$D$1:$AA$314,(MATCH(M184,alles!$C$1:$C$314,0)),0))</f>
        <v>0</v>
      </c>
      <c r="D184" s="95">
        <f>(HLOOKUP(CONCATENATE($C$3,-2),alles!$D$1:$AA$314,(MATCH(M184,alles!$C$1:$C$314,0)),0))</f>
        <v>0</v>
      </c>
      <c r="E184" s="94">
        <f>(HLOOKUP(CONCATENATE($E$3,-1),alles!$D$1:$AA$314,(MATCH(M184,alles!$C$1:$C$314,0)),0))</f>
        <v>0</v>
      </c>
      <c r="F184" s="95">
        <f>(HLOOKUP(CONCATENATE($E$3,-2),alles!$D$1:$AA$314,(MATCH(M184,alles!$C$1:$C$314,0)),0))</f>
        <v>0</v>
      </c>
      <c r="G184" s="94">
        <f>(HLOOKUP(CONCATENATE($G$3,-1),alles!$D$1:$AA$314,(MATCH(M184,alles!$C$1:$C$314,0)),0))</f>
        <v>0</v>
      </c>
      <c r="H184" s="95">
        <f>(HLOOKUP(CONCATENATE($G$3,-2),alles!$D$1:$AA$314,(MATCH(M184,alles!$C$1:$C$314,0)),0))</f>
        <v>0</v>
      </c>
      <c r="I184" s="94">
        <f>(HLOOKUP(CONCATENATE($I$3,-1),alles!$D$1:$AA$314,(MATCH(M184,alles!$C$1:$C$314,0)),0))</f>
        <v>0</v>
      </c>
      <c r="J184" s="95">
        <f>(HLOOKUP(CONCATENATE($I$3,-2),alles!$D$1:$AA$314,(MATCH(M184,alles!$C$1:$C$314,0)),0))</f>
        <v>0</v>
      </c>
      <c r="K184" s="73"/>
      <c r="M184" s="39" t="s">
        <v>524</v>
      </c>
    </row>
    <row r="185" spans="1:13" hidden="1" x14ac:dyDescent="0.15">
      <c r="A185" s="106"/>
      <c r="B185" s="107"/>
      <c r="C185" s="94">
        <f>(HLOOKUP(CONCATENATE($C$3,-1),alles!$D$1:$AA$314,(MATCH(M185,alles!$C$1:$C$314,0)),0))</f>
        <v>0</v>
      </c>
      <c r="D185" s="95">
        <f>(HLOOKUP(CONCATENATE($C$3,-2),alles!$D$1:$AA$314,(MATCH(M185,alles!$C$1:$C$314,0)),0))</f>
        <v>0</v>
      </c>
      <c r="E185" s="94">
        <f>(HLOOKUP(CONCATENATE($E$3,-1),alles!$D$1:$AA$314,(MATCH(M185,alles!$C$1:$C$314,0)),0))</f>
        <v>0</v>
      </c>
      <c r="F185" s="95">
        <f>(HLOOKUP(CONCATENATE($E$3,-2),alles!$D$1:$AA$314,(MATCH(M185,alles!$C$1:$C$314,0)),0))</f>
        <v>0</v>
      </c>
      <c r="G185" s="94">
        <f>(HLOOKUP(CONCATENATE($G$3,-1),alles!$D$1:$AA$314,(MATCH(M185,alles!$C$1:$C$314,0)),0))</f>
        <v>0</v>
      </c>
      <c r="H185" s="95">
        <f>(HLOOKUP(CONCATENATE($G$3,-2),alles!$D$1:$AA$314,(MATCH(M185,alles!$C$1:$C$314,0)),0))</f>
        <v>0</v>
      </c>
      <c r="I185" s="94">
        <f>(HLOOKUP(CONCATENATE($I$3,-1),alles!$D$1:$AA$314,(MATCH(M185,alles!$C$1:$C$314,0)),0))</f>
        <v>0</v>
      </c>
      <c r="J185" s="95">
        <f>(HLOOKUP(CONCATENATE($I$3,-2),alles!$D$1:$AA$314,(MATCH(M185,alles!$C$1:$C$314,0)),0))</f>
        <v>0</v>
      </c>
      <c r="K185" s="73"/>
      <c r="M185" s="39" t="s">
        <v>525</v>
      </c>
    </row>
    <row r="186" spans="1:13" ht="12" x14ac:dyDescent="0.15">
      <c r="A186" s="111" t="s">
        <v>450</v>
      </c>
      <c r="B186" s="97" t="s">
        <v>31</v>
      </c>
      <c r="C186" s="73">
        <f t="shared" ref="C186" si="82">SUM(C187:C190)</f>
        <v>0</v>
      </c>
      <c r="D186" s="73">
        <f t="shared" ref="D186" si="83">SUM(D187:D190)</f>
        <v>0</v>
      </c>
      <c r="E186" s="73">
        <f t="shared" ref="E186" si="84">SUM(E187:E190)</f>
        <v>0</v>
      </c>
      <c r="F186" s="73">
        <f t="shared" ref="F186" si="85">SUM(F187:F190)</f>
        <v>0</v>
      </c>
      <c r="G186" s="73">
        <f t="shared" ref="G186" si="86">SUM(G187:G190)</f>
        <v>0</v>
      </c>
      <c r="H186" s="73">
        <f t="shared" ref="H186" si="87">SUM(H187:H190)</f>
        <v>0</v>
      </c>
      <c r="I186" s="73">
        <f t="shared" ref="I186" si="88">SUM(I187:I190)</f>
        <v>0</v>
      </c>
      <c r="J186" s="73">
        <f t="shared" ref="J186" si="89">SUM(J187:J190)</f>
        <v>0</v>
      </c>
      <c r="K186" s="73"/>
    </row>
    <row r="187" spans="1:13" hidden="1" x14ac:dyDescent="0.15">
      <c r="A187" s="106"/>
      <c r="B187" s="107"/>
      <c r="C187" s="94">
        <f>(HLOOKUP(CONCATENATE($C$3,-1),alles!$D$1:$AA$314,(MATCH(M187,alles!$C$1:$C$314,0)),0))</f>
        <v>0</v>
      </c>
      <c r="D187" s="95">
        <f>(HLOOKUP(CONCATENATE($C$3,-2),alles!$D$1:$AA$314,(MATCH(M187,alles!$C$1:$C$314,0)),0))</f>
        <v>0</v>
      </c>
      <c r="E187" s="94">
        <f>(HLOOKUP(CONCATENATE($E$3,-1),alles!$D$1:$AA$314,(MATCH(M187,alles!$C$1:$C$314,0)),0))</f>
        <v>0</v>
      </c>
      <c r="F187" s="95">
        <f>(HLOOKUP(CONCATENATE($E$3,-2),alles!$D$1:$AA$314,(MATCH(M187,alles!$C$1:$C$314,0)),0))</f>
        <v>0</v>
      </c>
      <c r="G187" s="94">
        <f>(HLOOKUP(CONCATENATE($G$3,-1),alles!$D$1:$AA$314,(MATCH(M187,alles!$C$1:$C$314,0)),0))</f>
        <v>0</v>
      </c>
      <c r="H187" s="95">
        <f>(HLOOKUP(CONCATENATE($G$3,-2),alles!$D$1:$AA$314,(MATCH(M187,alles!$C$1:$C$314,0)),0))</f>
        <v>0</v>
      </c>
      <c r="I187" s="94">
        <f>(HLOOKUP(CONCATENATE($I$3,-1),alles!$D$1:$AA$314,(MATCH(M187,alles!$C$1:$C$314,0)),0))</f>
        <v>0</v>
      </c>
      <c r="J187" s="95">
        <f>(HLOOKUP(CONCATENATE($I$3,-2),alles!$D$1:$AA$314,(MATCH(M187,alles!$C$1:$C$314,0)),0))</f>
        <v>0</v>
      </c>
      <c r="K187" s="73"/>
      <c r="M187" s="39" t="s">
        <v>526</v>
      </c>
    </row>
    <row r="188" spans="1:13" hidden="1" x14ac:dyDescent="0.15">
      <c r="A188" s="106"/>
      <c r="B188" s="107"/>
      <c r="C188" s="94">
        <f>(HLOOKUP(CONCATENATE($C$3,-1),alles!$D$1:$AA$314,(MATCH(M188,alles!$C$1:$C$314,0)),0))</f>
        <v>0</v>
      </c>
      <c r="D188" s="95">
        <f>(HLOOKUP(CONCATENATE($C$3,-2),alles!$D$1:$AA$314,(MATCH(M188,alles!$C$1:$C$314,0)),0))</f>
        <v>0</v>
      </c>
      <c r="E188" s="94">
        <f>(HLOOKUP(CONCATENATE($E$3,-1),alles!$D$1:$AA$314,(MATCH(M188,alles!$C$1:$C$314,0)),0))</f>
        <v>0</v>
      </c>
      <c r="F188" s="95">
        <f>(HLOOKUP(CONCATENATE($E$3,-2),alles!$D$1:$AA$314,(MATCH(M188,alles!$C$1:$C$314,0)),0))</f>
        <v>0</v>
      </c>
      <c r="G188" s="94">
        <f>(HLOOKUP(CONCATENATE($G$3,-1),alles!$D$1:$AA$314,(MATCH(M188,alles!$C$1:$C$314,0)),0))</f>
        <v>0</v>
      </c>
      <c r="H188" s="95">
        <f>(HLOOKUP(CONCATENATE($G$3,-2),alles!$D$1:$AA$314,(MATCH(M188,alles!$C$1:$C$314,0)),0))</f>
        <v>0</v>
      </c>
      <c r="I188" s="94">
        <f>(HLOOKUP(CONCATENATE($I$3,-1),alles!$D$1:$AA$314,(MATCH(M188,alles!$C$1:$C$314,0)),0))</f>
        <v>0</v>
      </c>
      <c r="J188" s="95">
        <f>(HLOOKUP(CONCATENATE($I$3,-2),alles!$D$1:$AA$314,(MATCH(M188,alles!$C$1:$C$314,0)),0))</f>
        <v>0</v>
      </c>
      <c r="K188" s="73"/>
      <c r="M188" s="39" t="s">
        <v>527</v>
      </c>
    </row>
    <row r="189" spans="1:13" hidden="1" x14ac:dyDescent="0.15">
      <c r="A189" s="106"/>
      <c r="B189" s="107"/>
      <c r="C189" s="94">
        <f>(HLOOKUP(CONCATENATE($C$3,-1),alles!$D$1:$AA$314,(MATCH(M189,alles!$C$1:$C$314,0)),0))</f>
        <v>0</v>
      </c>
      <c r="D189" s="95">
        <f>(HLOOKUP(CONCATENATE($C$3,-2),alles!$D$1:$AA$314,(MATCH(M189,alles!$C$1:$C$314,0)),0))</f>
        <v>0</v>
      </c>
      <c r="E189" s="94">
        <f>(HLOOKUP(CONCATENATE($E$3,-1),alles!$D$1:$AA$314,(MATCH(M189,alles!$C$1:$C$314,0)),0))</f>
        <v>0</v>
      </c>
      <c r="F189" s="95">
        <f>(HLOOKUP(CONCATENATE($E$3,-2),alles!$D$1:$AA$314,(MATCH(M189,alles!$C$1:$C$314,0)),0))</f>
        <v>0</v>
      </c>
      <c r="G189" s="94">
        <f>(HLOOKUP(CONCATENATE($G$3,-1),alles!$D$1:$AA$314,(MATCH(M189,alles!$C$1:$C$314,0)),0))</f>
        <v>0</v>
      </c>
      <c r="H189" s="95">
        <f>(HLOOKUP(CONCATENATE($G$3,-2),alles!$D$1:$AA$314,(MATCH(M189,alles!$C$1:$C$314,0)),0))</f>
        <v>0</v>
      </c>
      <c r="I189" s="94">
        <f>(HLOOKUP(CONCATENATE($I$3,-1),alles!$D$1:$AA$314,(MATCH(M189,alles!$C$1:$C$314,0)),0))</f>
        <v>0</v>
      </c>
      <c r="J189" s="95">
        <f>(HLOOKUP(CONCATENATE($I$3,-2),alles!$D$1:$AA$314,(MATCH(M189,alles!$C$1:$C$314,0)),0))</f>
        <v>0</v>
      </c>
      <c r="K189" s="73"/>
      <c r="M189" s="39" t="s">
        <v>528</v>
      </c>
    </row>
    <row r="190" spans="1:13" hidden="1" x14ac:dyDescent="0.15">
      <c r="A190" s="106"/>
      <c r="B190" s="107"/>
      <c r="C190" s="94">
        <f>(HLOOKUP(CONCATENATE($C$3,-1),alles!$D$1:$AA$314,(MATCH(M190,alles!$C$1:$C$314,0)),0))</f>
        <v>0</v>
      </c>
      <c r="D190" s="95">
        <f>(HLOOKUP(CONCATENATE($C$3,-2),alles!$D$1:$AA$314,(MATCH(M190,alles!$C$1:$C$314,0)),0))</f>
        <v>0</v>
      </c>
      <c r="E190" s="94">
        <f>(HLOOKUP(CONCATENATE($E$3,-1),alles!$D$1:$AA$314,(MATCH(M190,alles!$C$1:$C$314,0)),0))</f>
        <v>0</v>
      </c>
      <c r="F190" s="95">
        <f>(HLOOKUP(CONCATENATE($E$3,-2),alles!$D$1:$AA$314,(MATCH(M190,alles!$C$1:$C$314,0)),0))</f>
        <v>0</v>
      </c>
      <c r="G190" s="94">
        <f>(HLOOKUP(CONCATENATE($G$3,-1),alles!$D$1:$AA$314,(MATCH(M190,alles!$C$1:$C$314,0)),0))</f>
        <v>0</v>
      </c>
      <c r="H190" s="95">
        <f>(HLOOKUP(CONCATENATE($G$3,-2),alles!$D$1:$AA$314,(MATCH(M190,alles!$C$1:$C$314,0)),0))</f>
        <v>0</v>
      </c>
      <c r="I190" s="94">
        <f>(HLOOKUP(CONCATENATE($I$3,-1),alles!$D$1:$AA$314,(MATCH(M190,alles!$C$1:$C$314,0)),0))</f>
        <v>0</v>
      </c>
      <c r="J190" s="95">
        <f>(HLOOKUP(CONCATENATE($I$3,-2),alles!$D$1:$AA$314,(MATCH(M190,alles!$C$1:$C$314,0)),0))</f>
        <v>0</v>
      </c>
      <c r="K190" s="73"/>
      <c r="M190" s="39" t="s">
        <v>529</v>
      </c>
    </row>
    <row r="197" ht="16" customHeight="1" x14ac:dyDescent="0.15"/>
    <row r="200" ht="14" customHeight="1" x14ac:dyDescent="0.15"/>
    <row r="207" ht="15" customHeight="1" x14ac:dyDescent="0.15"/>
  </sheetData>
  <sheetProtection algorithmName="SHA-512" hashValue="SE7TRwbkDRumZ7DEYVL2CPY+WQlbcR9BcTbiWFNyw2UtIcdHBzjhquOE3+IApKCZ8Ka0tuSGOLrUi4SpI2Vxfw==" saltValue="h/aIdCZy3ho+867ZOtxROA==" spinCount="100000" sheet="1" objects="1" scenarios="1"/>
  <mergeCells count="65">
    <mergeCell ref="A104:B104"/>
    <mergeCell ref="A96:B96"/>
    <mergeCell ref="A97:B97"/>
    <mergeCell ref="A98:B98"/>
    <mergeCell ref="A99:B99"/>
    <mergeCell ref="A100:B100"/>
    <mergeCell ref="A94:B94"/>
    <mergeCell ref="A95:B95"/>
    <mergeCell ref="A101:B101"/>
    <mergeCell ref="A102:B102"/>
    <mergeCell ref="A103:B103"/>
    <mergeCell ref="A89:B89"/>
    <mergeCell ref="A90:B90"/>
    <mergeCell ref="A91:B91"/>
    <mergeCell ref="A92:B92"/>
    <mergeCell ref="A93:B93"/>
    <mergeCell ref="A84:B84"/>
    <mergeCell ref="A85:B85"/>
    <mergeCell ref="A86:B86"/>
    <mergeCell ref="A87:B87"/>
    <mergeCell ref="A88:B88"/>
    <mergeCell ref="C154:D154"/>
    <mergeCell ref="E154:F154"/>
    <mergeCell ref="G154:H154"/>
    <mergeCell ref="I154:J154"/>
    <mergeCell ref="C2:D2"/>
    <mergeCell ref="I3:J3"/>
    <mergeCell ref="B1:H1"/>
    <mergeCell ref="A3:A4"/>
    <mergeCell ref="B3:B4"/>
    <mergeCell ref="A12:A14"/>
    <mergeCell ref="C3:D3"/>
    <mergeCell ref="E3:F3"/>
    <mergeCell ref="G3:H3"/>
    <mergeCell ref="A18:B18"/>
    <mergeCell ref="A19:B19"/>
    <mergeCell ref="A26:B26"/>
    <mergeCell ref="A27:B27"/>
    <mergeCell ref="A20:B20"/>
    <mergeCell ref="A21:B21"/>
    <mergeCell ref="A22:B22"/>
    <mergeCell ref="A23:B23"/>
    <mergeCell ref="A24:B24"/>
    <mergeCell ref="A25:B25"/>
    <mergeCell ref="A154:A155"/>
    <mergeCell ref="A28:B28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119:A120"/>
    <mergeCell ref="C119:D119"/>
    <mergeCell ref="E119:F119"/>
    <mergeCell ref="G119:H119"/>
    <mergeCell ref="I119:J119"/>
  </mergeCells>
  <phoneticPr fontId="1" type="noConversion"/>
  <pageMargins left="0.7" right="0.2" top="0.75" bottom="0.75" header="0.3" footer="0.3"/>
  <pageSetup paperSize="9" orientation="portrait" horizontalDpi="0" verticalDpi="0"/>
  <ignoredErrors>
    <ignoredError sqref="C121:J190 C11:J10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A75A7-B69D-9A41-AF89-5ECC8F67F89E}">
  <dimension ref="A1:N291"/>
  <sheetViews>
    <sheetView showGridLines="0" showWhiteSpace="0" zoomScale="153" zoomScaleNormal="153" zoomScalePageLayoutView="140" workbookViewId="0">
      <pane ySplit="2340" activePane="bottomLeft"/>
      <selection activeCell="M1" sqref="M1:N1048576"/>
      <selection pane="bottomLeft" activeCell="A104" sqref="A104"/>
    </sheetView>
  </sheetViews>
  <sheetFormatPr baseColWidth="10" defaultRowHeight="11" x14ac:dyDescent="0.15"/>
  <cols>
    <col min="1" max="1" width="13.83203125" style="39" customWidth="1"/>
    <col min="2" max="2" width="11" style="39" customWidth="1"/>
    <col min="3" max="10" width="6.5" style="39" customWidth="1"/>
    <col min="11" max="11" width="6.5" style="39" bestFit="1" customWidth="1"/>
    <col min="12" max="12" width="10.83203125" style="39"/>
    <col min="13" max="14" width="10.83203125" style="39" hidden="1" customWidth="1"/>
    <col min="15" max="16384" width="10.83203125" style="39"/>
  </cols>
  <sheetData>
    <row r="1" spans="1:14" ht="16" customHeight="1" thickBot="1" x14ac:dyDescent="0.3">
      <c r="A1" s="68"/>
      <c r="B1" s="741" t="s">
        <v>178</v>
      </c>
      <c r="C1" s="741"/>
      <c r="D1" s="741"/>
      <c r="E1" s="741"/>
      <c r="F1" s="741"/>
      <c r="G1" s="741"/>
      <c r="H1" s="741"/>
      <c r="I1" s="70" t="s">
        <v>33</v>
      </c>
      <c r="J1" s="68" t="str">
        <f>Absoluut!K1</f>
        <v>3.1</v>
      </c>
      <c r="K1" s="68"/>
    </row>
    <row r="2" spans="1:14" x14ac:dyDescent="0.15">
      <c r="A2" s="77"/>
      <c r="B2" s="68"/>
      <c r="C2" s="749" t="s">
        <v>218</v>
      </c>
      <c r="D2" s="750"/>
      <c r="E2" s="68"/>
      <c r="F2" s="68"/>
      <c r="G2" s="68"/>
      <c r="H2" s="68"/>
      <c r="I2" s="70" t="s">
        <v>32</v>
      </c>
      <c r="J2" s="755">
        <f>Absoluut!K2</f>
        <v>46070</v>
      </c>
      <c r="K2" s="755"/>
    </row>
    <row r="3" spans="1:14" ht="16" customHeight="1" x14ac:dyDescent="0.15">
      <c r="A3" s="742" t="s">
        <v>13</v>
      </c>
      <c r="B3" s="744" t="s">
        <v>17</v>
      </c>
      <c r="C3" s="728">
        <f>Absoluut!C3</f>
        <v>2021</v>
      </c>
      <c r="D3" s="729"/>
      <c r="E3" s="730">
        <f>Absoluut!E3</f>
        <v>2023</v>
      </c>
      <c r="F3" s="731"/>
      <c r="G3" s="732">
        <f>Absoluut!G3</f>
        <v>2024</v>
      </c>
      <c r="H3" s="731"/>
      <c r="I3" s="732">
        <f>Absoluut!I3</f>
        <v>2025</v>
      </c>
      <c r="J3" s="731"/>
      <c r="K3" s="82"/>
    </row>
    <row r="4" spans="1:14" ht="12" thickBot="1" x14ac:dyDescent="0.2">
      <c r="A4" s="743"/>
      <c r="B4" s="745"/>
      <c r="C4" s="83" t="s">
        <v>18</v>
      </c>
      <c r="D4" s="84" t="s">
        <v>19</v>
      </c>
      <c r="E4" s="69" t="s">
        <v>18</v>
      </c>
      <c r="F4" s="120" t="s">
        <v>19</v>
      </c>
      <c r="G4" s="706" t="s">
        <v>18</v>
      </c>
      <c r="H4" s="120" t="s">
        <v>19</v>
      </c>
      <c r="I4" s="706" t="s">
        <v>18</v>
      </c>
      <c r="J4" s="120" t="s">
        <v>19</v>
      </c>
      <c r="K4" s="120" t="s">
        <v>20</v>
      </c>
      <c r="M4" s="39" t="s">
        <v>382</v>
      </c>
      <c r="N4" s="39" t="s">
        <v>383</v>
      </c>
    </row>
    <row r="5" spans="1:14" x14ac:dyDescent="0.15">
      <c r="A5" s="71" t="s">
        <v>1</v>
      </c>
      <c r="B5" s="93"/>
      <c r="C5" s="81">
        <f>(HLOOKUP(CONCATENATE($C$3,-1),alles!$D$1:$AA$314,(MATCH(N5,alles!$C$1:$C$314,0)),0))*(HLOOKUP($C$3,'CO2 equivalenten'!$E$4:$Q$150,(MATCH($M$5,'CO2 equivalenten'!$C$4:$C$150,0)),0))</f>
        <v>10.002155999999999</v>
      </c>
      <c r="D5" s="81">
        <f>(HLOOKUP(CONCATENATE($C$3,-2),alles!$D$1:$AA$314,(MATCH(N5,alles!$C$1:$C$314,0)),0))*(HLOOKUP($C$3,'CO2 equivalenten'!$E$4:$Q$150,(MATCH($M$5,'CO2 equivalenten'!$C$4:$C$150,0)),0))</f>
        <v>11.336028000000001</v>
      </c>
      <c r="E5" s="79">
        <f>(HLOOKUP(CONCATENATE($E$3,-1),alles!$D$1:$AA$314,(MATCH(N5,alles!$C$1:$C$314,0)),0))*(HLOOKUP($E$3,'CO2 equivalenten'!$E$4:$Q$150,(MATCH($M$5,'CO2 equivalenten'!$C$4:$C$150,0)),0))</f>
        <v>12.010383000000001</v>
      </c>
      <c r="F5" s="79">
        <f>(HLOOKUP(CONCATENATE($E$3,-2),alles!$D$1:$AA$314,(MATCH(N5,alles!$C$1:$C$314,0)),0))*(HLOOKUP($E$3,'CO2 equivalenten'!$E$4:$Q$150,(MATCH($M$5,'CO2 equivalenten'!$C$4:$C$150,0)),0))</f>
        <v>8.8835670000000011</v>
      </c>
      <c r="G5" s="79">
        <f>(HLOOKUP(CONCATENATE($G$3,-1),alles!$D$1:$AA$314,(MATCH(N5,alles!$C$1:$C$314,0)),0))*(HLOOKUP($G$3,'CO2 equivalenten'!$E$4:$Q$150,(MATCH($M$5,'CO2 equivalenten'!$C$4:$C$150,0)),0))</f>
        <v>12.859484</v>
      </c>
      <c r="H5" s="79">
        <f>(HLOOKUP(CONCATENATE($G$3,-2),alles!$D$1:$AA$314,(MATCH(N5,alles!$C$1:$C$314,0)),0))*(HLOOKUP($G$3,'CO2 equivalenten'!$E$4:$Q$150,(MATCH($M$5,'CO2 equivalenten'!$C$4:$C$150,0)),0))</f>
        <v>11.327272000000001</v>
      </c>
      <c r="I5" s="79">
        <f>(HLOOKUP(CONCATENATE($I$3,-1),alles!$D$1:$AA$314,(MATCH(N5,alles!$C$1:$C$314,0)),0))*(HLOOKUP($I$3,'CO2 equivalenten'!$E$4:$Q$150,(MATCH($M$5,'CO2 equivalenten'!$C$4:$C$150,0)),0))</f>
        <v>10.665732</v>
      </c>
      <c r="J5" s="79">
        <f>(HLOOKUP(CONCATENATE($I$3,-2),alles!$D$1:$AA$314,(MATCH(N5,alles!$C$1:$C$314,0)),0))*(HLOOKUP($I$3,'CO2 equivalenten'!$E$4:$Q$150,(MATCH($M$5,'CO2 equivalenten'!$C$4:$C$150,0)),0))</f>
        <v>7.2022500000000003</v>
      </c>
      <c r="K5" s="93" t="s">
        <v>135</v>
      </c>
      <c r="M5" s="39" t="s">
        <v>305</v>
      </c>
      <c r="N5" s="39" t="s">
        <v>291</v>
      </c>
    </row>
    <row r="6" spans="1:14" ht="12" x14ac:dyDescent="0.15">
      <c r="A6" s="111" t="s">
        <v>116</v>
      </c>
      <c r="B6" s="122" t="s">
        <v>31</v>
      </c>
      <c r="C6" s="123">
        <f t="shared" ref="C6:J6" si="0">SUM(C7:C10)</f>
        <v>922.00951920000011</v>
      </c>
      <c r="D6" s="123">
        <f t="shared" si="0"/>
        <v>833.93910740000013</v>
      </c>
      <c r="E6" s="123">
        <f t="shared" si="0"/>
        <v>861.89299240000003</v>
      </c>
      <c r="F6" s="123">
        <f t="shared" si="0"/>
        <v>913.88105599999994</v>
      </c>
      <c r="G6" s="123">
        <f t="shared" si="0"/>
        <v>932.87655999999993</v>
      </c>
      <c r="H6" s="123">
        <f t="shared" si="0"/>
        <v>918.69147039999984</v>
      </c>
      <c r="I6" s="123">
        <f t="shared" si="0"/>
        <v>1008.3308102000001</v>
      </c>
      <c r="J6" s="123">
        <f t="shared" si="0"/>
        <v>983.1371856999998</v>
      </c>
      <c r="K6" s="124" t="s">
        <v>136</v>
      </c>
    </row>
    <row r="7" spans="1:14" ht="12" x14ac:dyDescent="0.15">
      <c r="A7" s="88" t="s">
        <v>416</v>
      </c>
      <c r="B7" s="85" t="s">
        <v>14</v>
      </c>
      <c r="C7" s="78">
        <f>(HLOOKUP(CONCATENATE($C$3,-1),alles!$D$1:$AA$314,(MATCH(N7,alles!$C$1:$C$314,0)),0))*(HLOOKUP($C$3,'CO2 equivalenten'!$E$4:$Q$150,(MATCH(M7,'CO2 equivalenten'!$C$4:$C$150,0)),0))</f>
        <v>922.00951920000011</v>
      </c>
      <c r="D7" s="78">
        <f>(HLOOKUP(CONCATENATE($C$3,-2),alles!$D$1:$AA$314,(MATCH(N7,alles!$C$1:$C$314,0)),0))*(HLOOKUP($C$3,'CO2 equivalenten'!$E$4:$Q$150,(MATCH(M7,'CO2 equivalenten'!$C$4:$C$150,0)),0))</f>
        <v>833.93910740000013</v>
      </c>
      <c r="E7" s="78">
        <f>(HLOOKUP(CONCATENATE($E$3,-1),alles!$D$1:$AA$314,(MATCH(N7,alles!$C$1:$C$314,0)),0))*(HLOOKUP($E$3,'CO2 equivalenten'!$E$4:$Q$150,(MATCH(M7,'CO2 equivalenten'!$C$4:$C$150,0)),0))</f>
        <v>861.89299240000003</v>
      </c>
      <c r="F7" s="78">
        <f>(HLOOKUP(CONCATENATE($E$3,-2),alles!$D$1:$AA$314,(MATCH(N7,alles!$C$1:$C$314,0)),0))*(HLOOKUP($E$3,'CO2 equivalenten'!$E$4:$Q$150,(MATCH(M7,'CO2 equivalenten'!$C$4:$C$150,0)),0))</f>
        <v>913.88105599999994</v>
      </c>
      <c r="G7" s="78">
        <f>(HLOOKUP(CONCATENATE($G$3,-1),alles!$D$1:$AA$314,(MATCH(N7,alles!$C$1:$C$314,0)),0))*(HLOOKUP($G$3,'CO2 equivalenten'!$E$4:$Q$150,(MATCH(M7,'CO2 equivalenten'!$C$4:$C$150,0)),0))</f>
        <v>932.87655999999993</v>
      </c>
      <c r="H7" s="78">
        <f>(HLOOKUP(CONCATENATE($G$3,-2),alles!$D$1:$AA$314,(MATCH(N7,alles!$C$1:$C$314,0)),0))*(HLOOKUP($G$3,'CO2 equivalenten'!$E$4:$Q$150,(MATCH(M7,'CO2 equivalenten'!$C$4:$C$150,0)),0))</f>
        <v>918.69147039999984</v>
      </c>
      <c r="I7" s="78">
        <f>(HLOOKUP(CONCATENATE($I$3,-1),alles!$D$1:$AA$314,(MATCH(N7,alles!$C$1:$C$314,0)),0))*(HLOOKUP($I$3,'CO2 equivalenten'!$E$4:$Q$150,(MATCH(M7,'CO2 equivalenten'!$C$4:$C$150,0)),0))</f>
        <v>1008.3308102000001</v>
      </c>
      <c r="J7" s="78">
        <f>(HLOOKUP(CONCATENATE($I$3,-2),alles!$D$1:$AA$314,(MATCH(N7,alles!$C$1:$C$314,0)),0))*(HLOOKUP($I$3,'CO2 equivalenten'!$E$4:$Q$150,(MATCH(M7,'CO2 equivalenten'!$C$4:$C$150,0)),0))</f>
        <v>983.1371856999998</v>
      </c>
      <c r="K7" s="85" t="s">
        <v>135</v>
      </c>
      <c r="M7" s="39" t="s">
        <v>306</v>
      </c>
      <c r="N7" s="39" t="s">
        <v>414</v>
      </c>
    </row>
    <row r="8" spans="1:14" ht="12" x14ac:dyDescent="0.15">
      <c r="A8" s="88" t="s">
        <v>417</v>
      </c>
      <c r="B8" s="85" t="s">
        <v>15</v>
      </c>
      <c r="C8" s="78">
        <f>(HLOOKUP(CONCATENATE($C$3,-1),alles!$D$1:$AA$314,(MATCH(N8,alles!$C$1:$C$314,0)),0))*(HLOOKUP($C$3,'CO2 equivalenten'!$E$4:$Q$150,(MATCH(M8,'CO2 equivalenten'!$C$4:$C$150,0)),0))</f>
        <v>0</v>
      </c>
      <c r="D8" s="78">
        <f>(HLOOKUP(CONCATENATE($C$3,-2),alles!$D$1:$AA$314,(MATCH(N8,alles!$C$1:$C$314,0)),0))*(HLOOKUP($C$3,'CO2 equivalenten'!$E$4:$Q$150,(MATCH(M8,'CO2 equivalenten'!$C$4:$C$150,0)),0))</f>
        <v>0</v>
      </c>
      <c r="E8" s="78">
        <f>(HLOOKUP(CONCATENATE($E$3,-1),alles!$D$1:$AA$314,(MATCH(N8,alles!$C$1:$C$314,0)),0))*(HLOOKUP($E$3,'CO2 equivalenten'!$E$4:$Q$150,(MATCH(M8,'CO2 equivalenten'!$C$4:$C$150,0)),0))</f>
        <v>0</v>
      </c>
      <c r="F8" s="78">
        <f>(HLOOKUP(CONCATENATE($E$3,-2),alles!$D$1:$AA$314,(MATCH(N8,alles!$C$1:$C$314,0)),0))*(HLOOKUP($E$3,'CO2 equivalenten'!$E$4:$Q$150,(MATCH(M8,'CO2 equivalenten'!$C$4:$C$150,0)),0))</f>
        <v>0</v>
      </c>
      <c r="G8" s="78">
        <f>(HLOOKUP(CONCATENATE($G$3,-1),alles!$D$1:$AA$314,(MATCH(N8,alles!$C$1:$C$314,0)),0))*(HLOOKUP($G$3,'CO2 equivalenten'!$E$4:$Q$150,(MATCH(M8,'CO2 equivalenten'!$C$4:$C$150,0)),0))</f>
        <v>0</v>
      </c>
      <c r="H8" s="78">
        <f>(HLOOKUP(CONCATENATE($G$3,-2),alles!$D$1:$AA$314,(MATCH(N8,alles!$C$1:$C$314,0)),0))*(HLOOKUP($G$3,'CO2 equivalenten'!$E$4:$Q$150,(MATCH(M8,'CO2 equivalenten'!$C$4:$C$150,0)),0))</f>
        <v>0</v>
      </c>
      <c r="I8" s="78">
        <f>(HLOOKUP(CONCATENATE($I$3,-1),alles!$D$1:$AA$314,(MATCH(N8,alles!$C$1:$C$314,0)),0))*(HLOOKUP($I$3,'CO2 equivalenten'!$E$4:$Q$150,(MATCH(M8,'CO2 equivalenten'!$C$4:$C$150,0)),0))</f>
        <v>0</v>
      </c>
      <c r="J8" s="78">
        <f>(HLOOKUP(CONCATENATE($I$3,-2),alles!$D$1:$AA$314,(MATCH(N8,alles!$C$1:$C$314,0)),0))*(HLOOKUP($I$3,'CO2 equivalenten'!$E$4:$Q$150,(MATCH(M8,'CO2 equivalenten'!$C$4:$C$150,0)),0))</f>
        <v>0</v>
      </c>
      <c r="K8" s="85" t="s">
        <v>135</v>
      </c>
      <c r="M8" s="39" t="s">
        <v>308</v>
      </c>
      <c r="N8" s="39" t="s">
        <v>405</v>
      </c>
    </row>
    <row r="9" spans="1:14" x14ac:dyDescent="0.15">
      <c r="A9" s="88"/>
      <c r="B9" s="85" t="s">
        <v>403</v>
      </c>
      <c r="C9" s="78">
        <f>(HLOOKUP(CONCATENATE($C$3,-1),alles!$D$1:$AA$314,(MATCH(N9,alles!$C$1:$C$314,0)),0))*(HLOOKUP($C$3,'CO2 equivalenten'!$E$4:$Q$150,(MATCH(M9,'CO2 equivalenten'!$C$4:$C$150,0)),0))</f>
        <v>0</v>
      </c>
      <c r="D9" s="78">
        <f>(HLOOKUP(CONCATENATE($C$3,-2),alles!$D$1:$AA$314,(MATCH(N9,alles!$C$1:$C$314,0)),0))*(HLOOKUP($C$3,'CO2 equivalenten'!$E$4:$Q$150,(MATCH(M9,'CO2 equivalenten'!$C$4:$C$150,0)),0))</f>
        <v>0</v>
      </c>
      <c r="E9" s="78">
        <f>(HLOOKUP(CONCATENATE($E$3,-1),alles!$D$1:$AA$314,(MATCH(N9,alles!$C$1:$C$314,0)),0))*(HLOOKUP($E$3,'CO2 equivalenten'!$E$4:$Q$150,(MATCH(M9,'CO2 equivalenten'!$C$4:$C$150,0)),0))</f>
        <v>0</v>
      </c>
      <c r="F9" s="78">
        <f>(HLOOKUP(CONCATENATE($E$3,-2),alles!$D$1:$AA$314,(MATCH(N9,alles!$C$1:$C$314,0)),0))*(HLOOKUP($E$3,'CO2 equivalenten'!$E$4:$Q$150,(MATCH(M9,'CO2 equivalenten'!$C$4:$C$150,0)),0))</f>
        <v>0</v>
      </c>
      <c r="G9" s="78">
        <f>(HLOOKUP(CONCATENATE($G$3,-1),alles!$D$1:$AA$314,(MATCH(N9,alles!$C$1:$C$314,0)),0))*(HLOOKUP($G$3,'CO2 equivalenten'!$E$4:$Q$150,(MATCH(M9,'CO2 equivalenten'!$C$4:$C$150,0)),0))</f>
        <v>0</v>
      </c>
      <c r="H9" s="78">
        <f>(HLOOKUP(CONCATENATE($G$3,-2),alles!$D$1:$AA$314,(MATCH(N9,alles!$C$1:$C$314,0)),0))*(HLOOKUP($G$3,'CO2 equivalenten'!$E$4:$Q$150,(MATCH(M9,'CO2 equivalenten'!$C$4:$C$150,0)),0))</f>
        <v>0</v>
      </c>
      <c r="I9" s="78">
        <f>(HLOOKUP(CONCATENATE($I$3,-1),alles!$D$1:$AA$314,(MATCH(N9,alles!$C$1:$C$314,0)),0))*(HLOOKUP($I$3,'CO2 equivalenten'!$E$4:$Q$150,(MATCH(M9,'CO2 equivalenten'!$C$4:$C$150,0)),0))</f>
        <v>0</v>
      </c>
      <c r="J9" s="78">
        <f>(HLOOKUP(CONCATENATE($I$3,-2),alles!$D$1:$AA$314,(MATCH(N9,alles!$C$1:$C$314,0)),0))*(HLOOKUP($I$3,'CO2 equivalenten'!$E$4:$Q$150,(MATCH(M9,'CO2 equivalenten'!$C$4:$C$150,0)),0))</f>
        <v>0</v>
      </c>
      <c r="K9" s="85" t="s">
        <v>135</v>
      </c>
      <c r="M9" s="39" t="s">
        <v>403</v>
      </c>
      <c r="N9" s="39" t="s">
        <v>404</v>
      </c>
    </row>
    <row r="10" spans="1:14" x14ac:dyDescent="0.15">
      <c r="A10" s="89"/>
      <c r="B10" s="90" t="s">
        <v>16</v>
      </c>
      <c r="C10" s="78">
        <f>(HLOOKUP(CONCATENATE($C$3,-1),alles!$D$1:$AA$314,(MATCH(N10,alles!$C$1:$C$314,0)),0))*(HLOOKUP($C$3,'CO2 equivalenten'!$E$4:$Q$150,(MATCH(M10,'CO2 equivalenten'!$C$4:$C$150,0)),0))</f>
        <v>0</v>
      </c>
      <c r="D10" s="78">
        <f>(HLOOKUP(CONCATENATE($C$3,-2),alles!$D$1:$AA$314,(MATCH(N10,alles!$C$1:$C$314,0)),0))*(HLOOKUP($C$3,'CO2 equivalenten'!$E$4:$Q$150,(MATCH(M10,'CO2 equivalenten'!$C$4:$C$150,0)),0))</f>
        <v>0</v>
      </c>
      <c r="E10" s="78">
        <f>(HLOOKUP(CONCATENATE($E$3,-1),alles!$D$1:$AA$314,(MATCH(N10,alles!$C$1:$C$314,0)),0))*(HLOOKUP($E$3,'CO2 equivalenten'!$E$4:$Q$150,(MATCH(M10,'CO2 equivalenten'!$C$4:$C$150,0)),0))</f>
        <v>0</v>
      </c>
      <c r="F10" s="78">
        <f>(HLOOKUP(CONCATENATE($E$3,-2),alles!$D$1:$AA$314,(MATCH(N10,alles!$C$1:$C$314,0)),0))*(HLOOKUP($E$3,'CO2 equivalenten'!$E$4:$Q$150,(MATCH(M10,'CO2 equivalenten'!$C$4:$C$150,0)),0))</f>
        <v>0</v>
      </c>
      <c r="G10" s="78">
        <f>(HLOOKUP(CONCATENATE($G$3,-1),alles!$D$1:$AA$314,(MATCH(N10,alles!$C$1:$C$314,0)),0))*(HLOOKUP($G$3,'CO2 equivalenten'!$E$4:$Q$150,(MATCH(M10,'CO2 equivalenten'!$C$4:$C$150,0)),0))</f>
        <v>0</v>
      </c>
      <c r="H10" s="78">
        <f>(HLOOKUP(CONCATENATE($G$3,-2),alles!$D$1:$AA$314,(MATCH(N10,alles!$C$1:$C$314,0)),0))*(HLOOKUP($G$3,'CO2 equivalenten'!$E$4:$Q$150,(MATCH(M10,'CO2 equivalenten'!$C$4:$C$150,0)),0))</f>
        <v>0</v>
      </c>
      <c r="I10" s="78">
        <f>(HLOOKUP(CONCATENATE($I$3,-1),alles!$D$1:$AA$314,(MATCH(N10,alles!$C$1:$C$314,0)),0))*(HLOOKUP($I$3,'CO2 equivalenten'!$E$4:$Q$150,(MATCH(M10,'CO2 equivalenten'!$C$4:$C$150,0)),0))</f>
        <v>0</v>
      </c>
      <c r="J10" s="78">
        <f>(HLOOKUP(CONCATENATE($I$3,-2),alles!$D$1:$AA$314,(MATCH(N10,alles!$C$1:$C$314,0)),0))*(HLOOKUP($I$3,'CO2 equivalenten'!$E$4:$Q$150,(MATCH(M10,'CO2 equivalenten'!$C$4:$C$150,0)),0))</f>
        <v>0</v>
      </c>
      <c r="K10" s="90" t="s">
        <v>135</v>
      </c>
      <c r="M10" s="39" t="s">
        <v>16</v>
      </c>
      <c r="N10" s="39" t="s">
        <v>407</v>
      </c>
    </row>
    <row r="11" spans="1:14" ht="12" x14ac:dyDescent="0.15">
      <c r="A11" s="121" t="s">
        <v>307</v>
      </c>
      <c r="B11" s="122" t="s">
        <v>31</v>
      </c>
      <c r="C11" s="123">
        <f t="shared" ref="C11:J11" si="1">SUM(C12:C14)</f>
        <v>16.209264000000001</v>
      </c>
      <c r="D11" s="123">
        <f t="shared" si="1"/>
        <v>18.946705999999999</v>
      </c>
      <c r="E11" s="123">
        <f t="shared" si="1"/>
        <v>11.349439199999999</v>
      </c>
      <c r="F11" s="123">
        <f t="shared" si="1"/>
        <v>9.7237183999999992</v>
      </c>
      <c r="G11" s="123">
        <f t="shared" si="1"/>
        <v>13.24266793</v>
      </c>
      <c r="H11" s="123">
        <f t="shared" si="1"/>
        <v>18.796250700000002</v>
      </c>
      <c r="I11" s="123">
        <f t="shared" si="1"/>
        <v>15.77519188</v>
      </c>
      <c r="J11" s="123">
        <f t="shared" si="1"/>
        <v>18.18024827</v>
      </c>
      <c r="K11" s="124" t="s">
        <v>136</v>
      </c>
    </row>
    <row r="12" spans="1:14" ht="11" customHeight="1" x14ac:dyDescent="0.15">
      <c r="A12" s="88" t="s">
        <v>10</v>
      </c>
      <c r="B12" s="85" t="s">
        <v>14</v>
      </c>
      <c r="C12" s="78">
        <f>(HLOOKUP(CONCATENATE($C$3,-1),alles!$D$1:$AA$314,(MATCH(N12,alles!$C$1:$C$314,0)),0))*(HLOOKUP($C$3,'CO2 equivalenten'!$E$4:$Q$150,(MATCH(M12,'CO2 equivalenten'!$C$4:$C$150,0)),0))</f>
        <v>10.56888</v>
      </c>
      <c r="D12" s="78">
        <f>(HLOOKUP(CONCATENATE($C$3,-2),alles!$D$1:$AA$314,(MATCH(N12,alles!$C$1:$C$314,0)),0))*(HLOOKUP($C$3,'CO2 equivalenten'!$E$4:$Q$150,(MATCH(M12,'CO2 equivalenten'!$C$4:$C$150,0)),0))</f>
        <v>11.505074</v>
      </c>
      <c r="E12" s="78">
        <f>(HLOOKUP(CONCATENATE($E$3,-1),alles!$D$1:$AA$314,(MATCH(N12,alles!$C$1:$C$314,0)),0))*(HLOOKUP($E$3,'CO2 equivalenten'!$E$4:$Q$150,(MATCH(M12,'CO2 equivalenten'!$C$4:$C$150,0)),0))</f>
        <v>11.349439199999999</v>
      </c>
      <c r="F12" s="78">
        <f>(HLOOKUP(CONCATENATE($E$3,-2),alles!$D$1:$AA$314,(MATCH(N12,alles!$C$1:$C$314,0)),0))*(HLOOKUP($E$3,'CO2 equivalenten'!$E$4:$Q$150,(MATCH(M12,'CO2 equivalenten'!$C$4:$C$150,0)),0))</f>
        <v>9.7237183999999992</v>
      </c>
      <c r="G12" s="78">
        <f>(HLOOKUP(CONCATENATE($G$3,-1),alles!$D$1:$AA$314,(MATCH(N12,alles!$C$1:$C$314,0)),0))*(HLOOKUP($G$3,'CO2 equivalenten'!$E$4:$Q$150,(MATCH(M12,'CO2 equivalenten'!$C$4:$C$150,0)),0))</f>
        <v>5.5319439999999993</v>
      </c>
      <c r="H12" s="78">
        <f>(HLOOKUP(CONCATENATE($G$3,-2),alles!$D$1:$AA$314,(MATCH(N12,alles!$C$1:$C$314,0)),0))*(HLOOKUP($G$3,'CO2 equivalenten'!$E$4:$Q$150,(MATCH(M12,'CO2 equivalenten'!$C$4:$C$150,0)),0))</f>
        <v>9.9036124000000001</v>
      </c>
      <c r="I12" s="78">
        <f>(HLOOKUP(CONCATENATE($I$3,-1),alles!$D$1:$AA$314,(MATCH(N12,alles!$C$1:$C$314,0)),0))*(HLOOKUP($I$3,'CO2 equivalenten'!$E$4:$Q$150,(MATCH(M12,'CO2 equivalenten'!$C$4:$C$150,0)),0))</f>
        <v>0</v>
      </c>
      <c r="J12" s="78">
        <f>(HLOOKUP(CONCATENATE($I$3,-2),alles!$D$1:$AA$314,(MATCH(N12,alles!$C$1:$C$314,0)),0))*(HLOOKUP($I$3,'CO2 equivalenten'!$E$4:$Q$150,(MATCH(M12,'CO2 equivalenten'!$C$4:$C$150,0)),0))</f>
        <v>0</v>
      </c>
      <c r="K12" s="85" t="s">
        <v>135</v>
      </c>
      <c r="M12" s="39" t="s">
        <v>306</v>
      </c>
      <c r="N12" s="39" t="s">
        <v>266</v>
      </c>
    </row>
    <row r="13" spans="1:14" x14ac:dyDescent="0.15">
      <c r="A13" s="88"/>
      <c r="B13" s="85" t="s">
        <v>15</v>
      </c>
      <c r="C13" s="78">
        <f>(HLOOKUP(CONCATENATE($C$3,-1),alles!$D$1:$AA$314,(MATCH(N13,alles!$C$1:$C$314,0)),0))*(HLOOKUP($C$3,'CO2 equivalenten'!$E$4:$Q$150,(MATCH(M13,'CO2 equivalenten'!$C$4:$C$150,0)),0))</f>
        <v>5.6403840000000001</v>
      </c>
      <c r="D13" s="78">
        <f>(HLOOKUP(CONCATENATE($C$3,-2),alles!$D$1:$AA$314,(MATCH(N13,alles!$C$1:$C$314,0)),0))*(HLOOKUP($C$3,'CO2 equivalenten'!$E$4:$Q$150,(MATCH(M13,'CO2 equivalenten'!$C$4:$C$150,0)),0))</f>
        <v>7.4416320000000002</v>
      </c>
      <c r="E13" s="78">
        <f>(HLOOKUP(CONCATENATE($E$3,-1),alles!$D$1:$AA$314,(MATCH(N13,alles!$C$1:$C$314,0)),0))*(HLOOKUP($E$3,'CO2 equivalenten'!$E$4:$Q$150,(MATCH(M13,'CO2 equivalenten'!$C$4:$C$150,0)),0))</f>
        <v>0</v>
      </c>
      <c r="F13" s="78">
        <f>(HLOOKUP(CONCATENATE($E$3,-2),alles!$D$1:$AA$314,(MATCH(N13,alles!$C$1:$C$314,0)),0))*(HLOOKUP($E$3,'CO2 equivalenten'!$E$4:$Q$150,(MATCH(M13,'CO2 equivalenten'!$C$4:$C$150,0)),0))</f>
        <v>0</v>
      </c>
      <c r="G13" s="78">
        <f>(HLOOKUP(CONCATENATE($G$3,-1),alles!$D$1:$AA$314,(MATCH(N13,alles!$C$1:$C$314,0)),0))*(HLOOKUP($G$3,'CO2 equivalenten'!$E$4:$Q$150,(MATCH(M13,'CO2 equivalenten'!$C$4:$C$150,0)),0))</f>
        <v>7.7107239300000003</v>
      </c>
      <c r="H13" s="78">
        <f>(HLOOKUP(CONCATENATE($G$3,-2),alles!$D$1:$AA$314,(MATCH(N13,alles!$C$1:$C$314,0)),0))*(HLOOKUP($G$3,'CO2 equivalenten'!$E$4:$Q$150,(MATCH(M13,'CO2 equivalenten'!$C$4:$C$150,0)),0))</f>
        <v>8.8926383000000015</v>
      </c>
      <c r="I13" s="78">
        <f>(HLOOKUP(CONCATENATE($I$3,-1),alles!$D$1:$AA$314,(MATCH(N13,alles!$C$1:$C$314,0)),0))*(HLOOKUP($I$3,'CO2 equivalenten'!$E$4:$Q$150,(MATCH(M13,'CO2 equivalenten'!$C$4:$C$150,0)),0))</f>
        <v>15.77519188</v>
      </c>
      <c r="J13" s="78">
        <f>(HLOOKUP(CONCATENATE($I$3,-2),alles!$D$1:$AA$314,(MATCH(N13,alles!$C$1:$C$314,0)),0))*(HLOOKUP($I$3,'CO2 equivalenten'!$E$4:$Q$150,(MATCH(M13,'CO2 equivalenten'!$C$4:$C$150,0)),0))</f>
        <v>18.18024827</v>
      </c>
      <c r="K13" s="85" t="s">
        <v>135</v>
      </c>
      <c r="M13" s="39" t="s">
        <v>308</v>
      </c>
      <c r="N13" s="39" t="s">
        <v>267</v>
      </c>
    </row>
    <row r="14" spans="1:14" x14ac:dyDescent="0.15">
      <c r="A14" s="88"/>
      <c r="B14" s="85" t="s">
        <v>16</v>
      </c>
      <c r="C14" s="78">
        <f>(HLOOKUP(CONCATENATE($C$3,-1),alles!$D$1:$AA$314,(MATCH(N14,alles!$C$1:$C$314,0)),0))*(HLOOKUP($C$3,'CO2 equivalenten'!$E$4:$Q$150,(MATCH(M14,'CO2 equivalenten'!$C$4:$C$150,0)),0))</f>
        <v>0</v>
      </c>
      <c r="D14" s="78">
        <f>(HLOOKUP(CONCATENATE($C$3,-2),alles!$D$1:$AA$314,(MATCH(N14,alles!$C$1:$C$314,0)),0))*(HLOOKUP($C$3,'CO2 equivalenten'!$E$4:$Q$150,(MATCH(M14,'CO2 equivalenten'!$C$4:$C$150,0)),0))</f>
        <v>0</v>
      </c>
      <c r="E14" s="78">
        <f>(HLOOKUP(CONCATENATE($E$3,-1),alles!$D$1:$AA$314,(MATCH(N14,alles!$C$1:$C$314,0)),0))*(HLOOKUP($E$3,'CO2 equivalenten'!$E$4:$Q$150,(MATCH(M14,'CO2 equivalenten'!$C$4:$C$150,0)),0))</f>
        <v>0</v>
      </c>
      <c r="F14" s="78">
        <f>(HLOOKUP(CONCATENATE($E$3,-2),alles!$D$1:$AA$314,(MATCH(N14,alles!$C$1:$C$314,0)),0))*(HLOOKUP($E$3,'CO2 equivalenten'!$E$4:$Q$150,(MATCH(M14,'CO2 equivalenten'!$C$4:$C$150,0)),0))</f>
        <v>0</v>
      </c>
      <c r="G14" s="78">
        <f>(HLOOKUP(CONCATENATE($G$3,-1),alles!$D$1:$AA$314,(MATCH(N14,alles!$C$1:$C$314,0)),0))*(HLOOKUP($G$3,'CO2 equivalenten'!$E$4:$Q$150,(MATCH(M14,'CO2 equivalenten'!$C$4:$C$150,0)),0))</f>
        <v>0</v>
      </c>
      <c r="H14" s="78">
        <f>(HLOOKUP(CONCATENATE($G$3,-2),alles!$D$1:$AA$314,(MATCH(N14,alles!$C$1:$C$314,0)),0))*(HLOOKUP($G$3,'CO2 equivalenten'!$E$4:$Q$150,(MATCH(M14,'CO2 equivalenten'!$C$4:$C$150,0)),0))</f>
        <v>0</v>
      </c>
      <c r="I14" s="78">
        <f>(HLOOKUP(CONCATENATE($I$3,-1),alles!$D$1:$AA$314,(MATCH(N14,alles!$C$1:$C$314,0)),0))*(HLOOKUP($I$3,'CO2 equivalenten'!$E$4:$Q$150,(MATCH(M14,'CO2 equivalenten'!$C$4:$C$150,0)),0))</f>
        <v>0</v>
      </c>
      <c r="J14" s="78">
        <f>(HLOOKUP(CONCATENATE($I$3,-2),alles!$D$1:$AA$314,(MATCH(N14,alles!$C$1:$C$314,0)),0))*(HLOOKUP($I$3,'CO2 equivalenten'!$E$4:$Q$150,(MATCH(M14,'CO2 equivalenten'!$C$4:$C$150,0)),0))</f>
        <v>0</v>
      </c>
      <c r="K14" s="85" t="s">
        <v>135</v>
      </c>
      <c r="M14" s="39" t="s">
        <v>16</v>
      </c>
      <c r="N14" s="39" t="s">
        <v>268</v>
      </c>
    </row>
    <row r="15" spans="1:14" x14ac:dyDescent="0.15">
      <c r="A15" s="71" t="s">
        <v>121</v>
      </c>
      <c r="B15" s="93"/>
      <c r="C15" s="79">
        <f>(HLOOKUP(CONCATENATE($C$3,-1),alles!$D$1:$AA$314,(MATCH(N15,alles!$C$1:$C$314,0)),0))*(HLOOKUP($C$3,'CO2 equivalenten'!$E$4:$Q$150,(MATCH(M15,'CO2 equivalenten'!$C$4:$C$150,0)),0))</f>
        <v>2.3712</v>
      </c>
      <c r="D15" s="79">
        <f>(HLOOKUP(CONCATENATE($C$3,-2),alles!$D$1:$AA$314,(MATCH(N15,alles!$C$1:$C$314,0)),0))*(HLOOKUP($C$3,'CO2 equivalenten'!$E$4:$Q$150,(MATCH(M15,'CO2 equivalenten'!$C$4:$C$150,0)),0))</f>
        <v>2.4633179999999997</v>
      </c>
      <c r="E15" s="79">
        <f>(HLOOKUP(CONCATENATE($E$3,-1),alles!$D$1:$AA$314,(MATCH(N15,alles!$C$1:$C$314,0)),0))*(HLOOKUP($E$3,'CO2 equivalenten'!$E$4:$Q$150,(MATCH(M15,'CO2 equivalenten'!$C$4:$C$150,0)),0))</f>
        <v>3.1191420000000001</v>
      </c>
      <c r="F15" s="79">
        <f>(HLOOKUP(CONCATENATE($E$3,-2),alles!$D$1:$AA$314,(MATCH(N15,alles!$C$1:$C$314,0)),0))*(HLOOKUP($E$3,'CO2 equivalenten'!$E$4:$Q$150,(MATCH(M15,'CO2 equivalenten'!$C$4:$C$150,0)),0))</f>
        <v>3.3149999999999995</v>
      </c>
      <c r="G15" s="79">
        <f>(HLOOKUP(CONCATENATE($G$3,-1),alles!$D$1:$AA$314,(MATCH(N15,alles!$C$1:$C$314,0)),0))*(HLOOKUP($G$3,'CO2 equivalenten'!$E$4:$Q$150,(MATCH(M15,'CO2 equivalenten'!$C$4:$C$150,0)),0))</f>
        <v>3.3768799999999999</v>
      </c>
      <c r="H15" s="79">
        <f>(HLOOKUP(CONCATENATE($G$3,-2),alles!$D$1:$AA$314,(MATCH(N15,alles!$C$1:$C$314,0)),0))*(HLOOKUP($G$3,'CO2 equivalenten'!$E$4:$Q$150,(MATCH(M15,'CO2 equivalenten'!$C$4:$C$150,0)),0))</f>
        <v>3.1560099999999998</v>
      </c>
      <c r="I15" s="79">
        <f>(HLOOKUP(CONCATENATE($I$3,-1),alles!$D$1:$AA$314,(MATCH(N15,alles!$C$1:$C$314,0)),0))*(HLOOKUP($I$3,'CO2 equivalenten'!$E$4:$Q$150,(MATCH(M15,'CO2 equivalenten'!$C$4:$C$150,0)),0))</f>
        <v>3.7146199999999996</v>
      </c>
      <c r="J15" s="79">
        <f>(HLOOKUP(CONCATENATE($I$3,-2),alles!$D$1:$AA$314,(MATCH(N15,alles!$C$1:$C$314,0)),0))*(HLOOKUP($I$3,'CO2 equivalenten'!$E$4:$Q$150,(MATCH(M15,'CO2 equivalenten'!$C$4:$C$150,0)),0))</f>
        <v>3.5049039999999998</v>
      </c>
      <c r="K15" s="93" t="s">
        <v>135</v>
      </c>
      <c r="M15" s="39" t="s">
        <v>269</v>
      </c>
      <c r="N15" s="39" t="s">
        <v>269</v>
      </c>
    </row>
    <row r="16" spans="1:14" x14ac:dyDescent="0.15">
      <c r="A16" s="71" t="s">
        <v>11</v>
      </c>
      <c r="B16" s="93"/>
      <c r="C16" s="79">
        <f>(HLOOKUP(CONCATENATE($C$3,-1),alles!$D$1:$AA$314,(MATCH(N16,alles!$C$1:$C$314,0)),0))*(HLOOKUP($C$3,'CO2 equivalenten'!$E$4:$Q$150,(MATCH(M16,'CO2 equivalenten'!$C$4:$C$150,0)),0))</f>
        <v>0</v>
      </c>
      <c r="D16" s="79">
        <f>(HLOOKUP(CONCATENATE($C$3,-2),alles!$D$1:$AA$314,(MATCH(N16,alles!$C$1:$C$314,0)),0))*(HLOOKUP($C$3,'CO2 equivalenten'!$E$4:$Q$150,(MATCH(M16,'CO2 equivalenten'!$C$4:$C$150,0)),0))</f>
        <v>0</v>
      </c>
      <c r="E16" s="79">
        <f>(HLOOKUP(CONCATENATE($E$3,-1),alles!$D$1:$AA$314,(MATCH(N16,alles!$C$1:$C$314,0)),0))*(HLOOKUP($E$3,'CO2 equivalenten'!$E$4:$Q$150,(MATCH(M16,'CO2 equivalenten'!$C$4:$C$150,0)),0))</f>
        <v>0</v>
      </c>
      <c r="F16" s="79">
        <f>(HLOOKUP(CONCATENATE($E$3,-2),alles!$D$1:$AA$314,(MATCH(N16,alles!$C$1:$C$314,0)),0))*(HLOOKUP($E$3,'CO2 equivalenten'!$E$4:$Q$150,(MATCH(M16,'CO2 equivalenten'!$C$4:$C$150,0)),0))</f>
        <v>0</v>
      </c>
      <c r="G16" s="79">
        <f>(HLOOKUP(CONCATENATE($G$3,-1),alles!$D$1:$AA$314,(MATCH(N16,alles!$C$1:$C$314,0)),0))*(HLOOKUP($G$3,'CO2 equivalenten'!$E$4:$Q$150,(MATCH(M16,'CO2 equivalenten'!$C$4:$C$150,0)),0))</f>
        <v>0</v>
      </c>
      <c r="H16" s="79">
        <f>(HLOOKUP(CONCATENATE($G$3,-2),alles!$D$1:$AA$314,(MATCH(N16,alles!$C$1:$C$314,0)),0))*(HLOOKUP($G$3,'CO2 equivalenten'!$E$4:$Q$150,(MATCH(M16,'CO2 equivalenten'!$C$4:$C$150,0)),0))</f>
        <v>0</v>
      </c>
      <c r="I16" s="79">
        <f>(HLOOKUP(CONCATENATE($I$3,-1),alles!$D$1:$AA$314,(MATCH(N16,alles!$C$1:$C$314,0)),0))*(HLOOKUP($I$3,'CO2 equivalenten'!$E$4:$Q$150,(MATCH(M16,'CO2 equivalenten'!$C$4:$C$150,0)),0))</f>
        <v>0</v>
      </c>
      <c r="J16" s="79">
        <f>(HLOOKUP(CONCATENATE($I$3,-2),alles!$D$1:$AA$314,(MATCH(N16,alles!$C$1:$C$314,0)),0))*(HLOOKUP($I$3,'CO2 equivalenten'!$E$4:$Q$150,(MATCH(M16,'CO2 equivalenten'!$C$4:$C$150,0)),0))</f>
        <v>0</v>
      </c>
      <c r="K16" s="93" t="s">
        <v>135</v>
      </c>
      <c r="M16" s="39" t="s">
        <v>270</v>
      </c>
      <c r="N16" s="39" t="s">
        <v>270</v>
      </c>
    </row>
    <row r="17" spans="1:14" ht="12" x14ac:dyDescent="0.15">
      <c r="A17" s="96" t="s">
        <v>2</v>
      </c>
      <c r="B17" s="475" t="s">
        <v>31</v>
      </c>
      <c r="C17" s="125">
        <f t="shared" ref="C17:J17" si="2">SUM(C18:C28)</f>
        <v>0</v>
      </c>
      <c r="D17" s="125">
        <f t="shared" si="2"/>
        <v>0</v>
      </c>
      <c r="E17" s="125">
        <f t="shared" si="2"/>
        <v>0</v>
      </c>
      <c r="F17" s="125">
        <f t="shared" si="2"/>
        <v>0</v>
      </c>
      <c r="G17" s="125">
        <f t="shared" si="2"/>
        <v>0</v>
      </c>
      <c r="H17" s="125">
        <f t="shared" si="2"/>
        <v>0</v>
      </c>
      <c r="I17" s="125">
        <f t="shared" si="2"/>
        <v>0</v>
      </c>
      <c r="J17" s="125">
        <f t="shared" si="2"/>
        <v>0</v>
      </c>
      <c r="K17" s="90" t="s">
        <v>135</v>
      </c>
    </row>
    <row r="18" spans="1:14" ht="12" hidden="1" customHeight="1" x14ac:dyDescent="0.15">
      <c r="A18" s="733" t="s">
        <v>195</v>
      </c>
      <c r="B18" s="734"/>
      <c r="C18" s="78">
        <f>(HLOOKUP(CONCATENATE($C$3,-1),alles!$D$1:$AA$314,(MATCH(N18,alles!$C$1:$C$314,0)),0))*(HLOOKUP($C$3,'CO2 equivalenten'!$E$4:$Q$150,(MATCH(M18,'CO2 equivalenten'!$C$4:$C$150,0)),0))</f>
        <v>0</v>
      </c>
      <c r="D18" s="78">
        <f>(HLOOKUP(CONCATENATE($C$3,-2),alles!$D$1:$AA$314,(MATCH(N18,alles!$C$1:$C$314,0)),0))*(HLOOKUP($C$3,'CO2 equivalenten'!$E$4:$Q$150,(MATCH(M18,'CO2 equivalenten'!$C$4:$C$150,0)),0))</f>
        <v>0</v>
      </c>
      <c r="E18" s="78">
        <f>(HLOOKUP(CONCATENATE($E$3,-1),alles!$D$1:$AA$314,(MATCH(N18,alles!$C$1:$C$314,0)),0))*(HLOOKUP($E$3,'CO2 equivalenten'!$E$4:$Q$150,(MATCH(M18,'CO2 equivalenten'!$C$4:$C$150,0)),0))</f>
        <v>0</v>
      </c>
      <c r="F18" s="78">
        <f>(HLOOKUP(CONCATENATE($E$3,-2),alles!$D$1:$AA$314,(MATCH(N18,alles!$C$1:$C$314,0)),0))*(HLOOKUP($E$3,'CO2 equivalenten'!$E$4:$Q$150,(MATCH(M18,'CO2 equivalenten'!$C$4:$C$150,0)),0))</f>
        <v>0</v>
      </c>
      <c r="G18" s="78">
        <f>(HLOOKUP(CONCATENATE($G$3,-1),alles!$D$1:$AA$314,(MATCH(N18,alles!$C$1:$C$314,0)),0))*(HLOOKUP($G$3,'CO2 equivalenten'!$E$4:$Q$150,(MATCH(M18,'CO2 equivalenten'!$C$4:$C$150,0)),0))</f>
        <v>0</v>
      </c>
      <c r="H18" s="78">
        <f>(HLOOKUP(CONCATENATE($G$3,-2),alles!$D$1:$AA$314,(MATCH(N18,alles!$C$1:$C$314,0)),0))*(HLOOKUP($G$3,'CO2 equivalenten'!$E$4:$Q$150,(MATCH(M18,'CO2 equivalenten'!$C$4:$C$150,0)),0))</f>
        <v>0</v>
      </c>
      <c r="I18" s="78">
        <f>(HLOOKUP(CONCATENATE($I$3,-1),alles!$D$1:$AA$314,(MATCH(N18,alles!$C$1:$C$314,0)),0))*(HLOOKUP($I$3,'CO2 equivalenten'!$E$4:$Q$150,(MATCH(M18,'CO2 equivalenten'!$C$4:$C$150,0)),0))</f>
        <v>0</v>
      </c>
      <c r="J18" s="78">
        <f>(HLOOKUP(CONCATENATE($I$3,-2),alles!$D$1:$AA$314,(MATCH(N18,alles!$C$1:$C$314,0)),0))*(HLOOKUP($I$3,'CO2 equivalenten'!$E$4:$Q$150,(MATCH(M18,'CO2 equivalenten'!$C$4:$C$150,0)),0))</f>
        <v>0</v>
      </c>
      <c r="K18" s="85" t="s">
        <v>135</v>
      </c>
      <c r="M18" s="39" t="s">
        <v>311</v>
      </c>
      <c r="N18" s="39" t="s">
        <v>311</v>
      </c>
    </row>
    <row r="19" spans="1:14" ht="12" hidden="1" customHeight="1" x14ac:dyDescent="0.2">
      <c r="A19" s="733" t="s">
        <v>196</v>
      </c>
      <c r="B19" s="734"/>
      <c r="C19" s="78">
        <f>(HLOOKUP(CONCATENATE($C$3,-1),alles!$D$1:$AA$314,(MATCH(N19,alles!$C$1:$C$314,0)),0))*(HLOOKUP($C$3,'CO2 equivalenten'!$E$4:$Q$150,(MATCH(M19,'CO2 equivalenten'!$C$4:$C$150,0)),0))</f>
        <v>0</v>
      </c>
      <c r="D19" s="78">
        <f>(HLOOKUP(CONCATENATE($C$3,-2),alles!$D$1:$AA$314,(MATCH(N19,alles!$C$1:$C$314,0)),0))*(HLOOKUP($C$3,'CO2 equivalenten'!$E$4:$Q$150,(MATCH(M19,'CO2 equivalenten'!$C$4:$C$150,0)),0))</f>
        <v>0</v>
      </c>
      <c r="E19" s="78">
        <f>(HLOOKUP(CONCATENATE($E$3,-1),alles!$D$1:$AA$314,(MATCH(N19,alles!$C$1:$C$314,0)),0))*(HLOOKUP($E$3,'CO2 equivalenten'!$E$4:$Q$150,(MATCH(M19,'CO2 equivalenten'!$C$4:$C$150,0)),0))</f>
        <v>0</v>
      </c>
      <c r="F19" s="78">
        <f>(HLOOKUP(CONCATENATE($E$3,-2),alles!$D$1:$AA$314,(MATCH(N19,alles!$C$1:$C$314,0)),0))*(HLOOKUP($E$3,'CO2 equivalenten'!$E$4:$Q$150,(MATCH(M19,'CO2 equivalenten'!$C$4:$C$150,0)),0))</f>
        <v>0</v>
      </c>
      <c r="G19" s="78">
        <f>(HLOOKUP(CONCATENATE($G$3,-1),alles!$D$1:$AA$314,(MATCH(N19,alles!$C$1:$C$314,0)),0))*(HLOOKUP($G$3,'CO2 equivalenten'!$E$4:$Q$150,(MATCH(M19,'CO2 equivalenten'!$C$4:$C$150,0)),0))</f>
        <v>0</v>
      </c>
      <c r="H19" s="78">
        <f>(HLOOKUP(CONCATENATE($G$3,-2),alles!$D$1:$AA$314,(MATCH(N19,alles!$C$1:$C$314,0)),0))*(HLOOKUP($G$3,'CO2 equivalenten'!$E$4:$Q$150,(MATCH(M19,'CO2 equivalenten'!$C$4:$C$150,0)),0))</f>
        <v>0</v>
      </c>
      <c r="I19" s="78">
        <f>(HLOOKUP(CONCATENATE($I$3,-1),alles!$D$1:$AA$314,(MATCH(N19,alles!$C$1:$C$314,0)),0))*(HLOOKUP($I$3,'CO2 equivalenten'!$E$4:$Q$150,(MATCH(M19,'CO2 equivalenten'!$C$4:$C$150,0)),0))</f>
        <v>0</v>
      </c>
      <c r="J19" s="78">
        <f>(HLOOKUP(CONCATENATE($I$3,-2),alles!$D$1:$AA$314,(MATCH(N19,alles!$C$1:$C$314,0)),0))*(HLOOKUP($I$3,'CO2 equivalenten'!$E$4:$Q$150,(MATCH(M19,'CO2 equivalenten'!$C$4:$C$150,0)),0))</f>
        <v>0</v>
      </c>
      <c r="K19" s="85" t="s">
        <v>194</v>
      </c>
      <c r="M19" s="39" t="s">
        <v>312</v>
      </c>
      <c r="N19" s="39" t="s">
        <v>312</v>
      </c>
    </row>
    <row r="20" spans="1:14" ht="12" hidden="1" customHeight="1" x14ac:dyDescent="0.2">
      <c r="A20" s="733" t="s">
        <v>197</v>
      </c>
      <c r="B20" s="734"/>
      <c r="C20" s="78">
        <f>(HLOOKUP(CONCATENATE($C$3,-1),alles!$D$1:$AA$314,(MATCH(N20,alles!$C$1:$C$314,0)),0))*(HLOOKUP($C$3,'CO2 equivalenten'!$E$4:$Q$150,(MATCH(M20,'CO2 equivalenten'!$C$4:$C$150,0)),0))</f>
        <v>0</v>
      </c>
      <c r="D20" s="78">
        <f>(HLOOKUP(CONCATENATE($C$3,-2),alles!$D$1:$AA$314,(MATCH(N20,alles!$C$1:$C$314,0)),0))*(HLOOKUP($C$3,'CO2 equivalenten'!$E$4:$Q$150,(MATCH(M20,'CO2 equivalenten'!$C$4:$C$150,0)),0))</f>
        <v>0</v>
      </c>
      <c r="E20" s="78">
        <f>(HLOOKUP(CONCATENATE($E$3,-1),alles!$D$1:$AA$314,(MATCH(N20,alles!$C$1:$C$314,0)),0))*(HLOOKUP($E$3,'CO2 equivalenten'!$E$4:$Q$150,(MATCH(M20,'CO2 equivalenten'!$C$4:$C$150,0)),0))</f>
        <v>0</v>
      </c>
      <c r="F20" s="78">
        <f>(HLOOKUP(CONCATENATE($E$3,-2),alles!$D$1:$AA$314,(MATCH(N20,alles!$C$1:$C$314,0)),0))*(HLOOKUP($E$3,'CO2 equivalenten'!$E$4:$Q$150,(MATCH(M20,'CO2 equivalenten'!$C$4:$C$150,0)),0))</f>
        <v>0</v>
      </c>
      <c r="G20" s="78">
        <f>(HLOOKUP(CONCATENATE($G$3,-1),alles!$D$1:$AA$314,(MATCH(N20,alles!$C$1:$C$314,0)),0))*(HLOOKUP($G$3,'CO2 equivalenten'!$E$4:$Q$150,(MATCH(M20,'CO2 equivalenten'!$C$4:$C$150,0)),0))</f>
        <v>0</v>
      </c>
      <c r="H20" s="78">
        <f>(HLOOKUP(CONCATENATE($G$3,-2),alles!$D$1:$AA$314,(MATCH(N20,alles!$C$1:$C$314,0)),0))*(HLOOKUP($G$3,'CO2 equivalenten'!$E$4:$Q$150,(MATCH(M20,'CO2 equivalenten'!$C$4:$C$150,0)),0))</f>
        <v>0</v>
      </c>
      <c r="I20" s="78">
        <f>(HLOOKUP(CONCATENATE($I$3,-1),alles!$D$1:$AA$314,(MATCH(N20,alles!$C$1:$C$314,0)),0))*(HLOOKUP($I$3,'CO2 equivalenten'!$E$4:$Q$150,(MATCH(M20,'CO2 equivalenten'!$C$4:$C$150,0)),0))</f>
        <v>0</v>
      </c>
      <c r="J20" s="78">
        <f>(HLOOKUP(CONCATENATE($I$3,-2),alles!$D$1:$AA$314,(MATCH(N20,alles!$C$1:$C$314,0)),0))*(HLOOKUP($I$3,'CO2 equivalenten'!$E$4:$Q$150,(MATCH(M20,'CO2 equivalenten'!$C$4:$C$150,0)),0))</f>
        <v>0</v>
      </c>
      <c r="K20" s="85" t="s">
        <v>194</v>
      </c>
      <c r="M20" s="39" t="s">
        <v>313</v>
      </c>
      <c r="N20" s="39" t="s">
        <v>313</v>
      </c>
    </row>
    <row r="21" spans="1:14" ht="12" hidden="1" customHeight="1" x14ac:dyDescent="0.2">
      <c r="A21" s="733" t="s">
        <v>198</v>
      </c>
      <c r="B21" s="734"/>
      <c r="C21" s="78">
        <f>(HLOOKUP(CONCATENATE($C$3,-1),alles!$D$1:$AA$314,(MATCH(N21,alles!$C$1:$C$314,0)),0))*(HLOOKUP($C$3,'CO2 equivalenten'!$E$4:$Q$150,(MATCH(M21,'CO2 equivalenten'!$C$4:$C$150,0)),0))</f>
        <v>0</v>
      </c>
      <c r="D21" s="78">
        <f>(HLOOKUP(CONCATENATE($C$3,-2),alles!$D$1:$AA$314,(MATCH(N21,alles!$C$1:$C$314,0)),0))*(HLOOKUP($C$3,'CO2 equivalenten'!$E$4:$Q$150,(MATCH(M21,'CO2 equivalenten'!$C$4:$C$150,0)),0))</f>
        <v>0</v>
      </c>
      <c r="E21" s="78">
        <f>(HLOOKUP(CONCATENATE($E$3,-1),alles!$D$1:$AA$314,(MATCH(N21,alles!$C$1:$C$314,0)),0))*(HLOOKUP($E$3,'CO2 equivalenten'!$E$4:$Q$150,(MATCH(M21,'CO2 equivalenten'!$C$4:$C$150,0)),0))</f>
        <v>0</v>
      </c>
      <c r="F21" s="78">
        <f>(HLOOKUP(CONCATENATE($E$3,-2),alles!$D$1:$AA$314,(MATCH(N21,alles!$C$1:$C$314,0)),0))*(HLOOKUP($E$3,'CO2 equivalenten'!$E$4:$Q$150,(MATCH(M21,'CO2 equivalenten'!$C$4:$C$150,0)),0))</f>
        <v>0</v>
      </c>
      <c r="G21" s="78">
        <f>(HLOOKUP(CONCATENATE($G$3,-1),alles!$D$1:$AA$314,(MATCH(N21,alles!$C$1:$C$314,0)),0))*(HLOOKUP($G$3,'CO2 equivalenten'!$E$4:$Q$150,(MATCH(M21,'CO2 equivalenten'!$C$4:$C$150,0)),0))</f>
        <v>0</v>
      </c>
      <c r="H21" s="78">
        <f>(HLOOKUP(CONCATENATE($G$3,-2),alles!$D$1:$AA$314,(MATCH(N21,alles!$C$1:$C$314,0)),0))*(HLOOKUP($G$3,'CO2 equivalenten'!$E$4:$Q$150,(MATCH(M21,'CO2 equivalenten'!$C$4:$C$150,0)),0))</f>
        <v>0</v>
      </c>
      <c r="I21" s="78">
        <f>(HLOOKUP(CONCATENATE($I$3,-1),alles!$D$1:$AA$314,(MATCH(N21,alles!$C$1:$C$314,0)),0))*(HLOOKUP($I$3,'CO2 equivalenten'!$E$4:$Q$150,(MATCH(M21,'CO2 equivalenten'!$C$4:$C$150,0)),0))</f>
        <v>0</v>
      </c>
      <c r="J21" s="78">
        <f>(HLOOKUP(CONCATENATE($I$3,-2),alles!$D$1:$AA$314,(MATCH(N21,alles!$C$1:$C$314,0)),0))*(HLOOKUP($I$3,'CO2 equivalenten'!$E$4:$Q$150,(MATCH(M21,'CO2 equivalenten'!$C$4:$C$150,0)),0))</f>
        <v>0</v>
      </c>
      <c r="K21" s="85" t="s">
        <v>194</v>
      </c>
      <c r="M21" s="39" t="s">
        <v>313</v>
      </c>
      <c r="N21" s="39" t="s">
        <v>316</v>
      </c>
    </row>
    <row r="22" spans="1:14" ht="12" hidden="1" customHeight="1" x14ac:dyDescent="0.2">
      <c r="A22" s="733" t="s">
        <v>199</v>
      </c>
      <c r="B22" s="734"/>
      <c r="C22" s="78">
        <f>(HLOOKUP(CONCATENATE($C$3,-1),alles!$D$1:$AA$314,(MATCH(N22,alles!$C$1:$C$314,0)),0))*(HLOOKUP($C$3,'CO2 equivalenten'!$E$4:$Q$150,(MATCH(M22,'CO2 equivalenten'!$C$4:$C$150,0)),0))</f>
        <v>0</v>
      </c>
      <c r="D22" s="78">
        <f>(HLOOKUP(CONCATENATE($C$3,-2),alles!$D$1:$AA$314,(MATCH(N22,alles!$C$1:$C$314,0)),0))*(HLOOKUP($C$3,'CO2 equivalenten'!$E$4:$Q$150,(MATCH(M22,'CO2 equivalenten'!$C$4:$C$150,0)),0))</f>
        <v>0</v>
      </c>
      <c r="E22" s="78">
        <f>(HLOOKUP(CONCATENATE($E$3,-1),alles!$D$1:$AA$314,(MATCH(N22,alles!$C$1:$C$314,0)),0))*(HLOOKUP($E$3,'CO2 equivalenten'!$E$4:$Q$150,(MATCH(M22,'CO2 equivalenten'!$C$4:$C$150,0)),0))</f>
        <v>0</v>
      </c>
      <c r="F22" s="78">
        <f>(HLOOKUP(CONCATENATE($E$3,-2),alles!$D$1:$AA$314,(MATCH(N22,alles!$C$1:$C$314,0)),0))*(HLOOKUP($E$3,'CO2 equivalenten'!$E$4:$Q$150,(MATCH(M22,'CO2 equivalenten'!$C$4:$C$150,0)),0))</f>
        <v>0</v>
      </c>
      <c r="G22" s="78">
        <f>(HLOOKUP(CONCATENATE($G$3,-1),alles!$D$1:$AA$314,(MATCH(N22,alles!$C$1:$C$314,0)),0))*(HLOOKUP($G$3,'CO2 equivalenten'!$E$4:$Q$150,(MATCH(M22,'CO2 equivalenten'!$C$4:$C$150,0)),0))</f>
        <v>0</v>
      </c>
      <c r="H22" s="78">
        <f>(HLOOKUP(CONCATENATE($G$3,-2),alles!$D$1:$AA$314,(MATCH(N22,alles!$C$1:$C$314,0)),0))*(HLOOKUP($G$3,'CO2 equivalenten'!$E$4:$Q$150,(MATCH(M22,'CO2 equivalenten'!$C$4:$C$150,0)),0))</f>
        <v>0</v>
      </c>
      <c r="I22" s="78">
        <f>(HLOOKUP(CONCATENATE($I$3,-1),alles!$D$1:$AA$314,(MATCH(N22,alles!$C$1:$C$314,0)),0))*(HLOOKUP($I$3,'CO2 equivalenten'!$E$4:$Q$150,(MATCH(M22,'CO2 equivalenten'!$C$4:$C$150,0)),0))</f>
        <v>0</v>
      </c>
      <c r="J22" s="78">
        <f>(HLOOKUP(CONCATENATE($I$3,-2),alles!$D$1:$AA$314,(MATCH(N22,alles!$C$1:$C$314,0)),0))*(HLOOKUP($I$3,'CO2 equivalenten'!$E$4:$Q$150,(MATCH(M22,'CO2 equivalenten'!$C$4:$C$150,0)),0))</f>
        <v>0</v>
      </c>
      <c r="K22" s="85" t="s">
        <v>194</v>
      </c>
      <c r="M22" s="39" t="s">
        <v>314</v>
      </c>
      <c r="N22" s="39" t="s">
        <v>314</v>
      </c>
    </row>
    <row r="23" spans="1:14" ht="12" hidden="1" customHeight="1" x14ac:dyDescent="0.2">
      <c r="A23" s="733" t="s">
        <v>200</v>
      </c>
      <c r="B23" s="734"/>
      <c r="C23" s="78">
        <f>(HLOOKUP(CONCATENATE($C$3,-1),alles!$D$1:$AA$314,(MATCH(N23,alles!$C$1:$C$314,0)),0))*(HLOOKUP($C$3,'CO2 equivalenten'!$E$4:$Q$150,(MATCH(M23,'CO2 equivalenten'!$C$4:$C$150,0)),0))</f>
        <v>0</v>
      </c>
      <c r="D23" s="78">
        <f>(HLOOKUP(CONCATENATE($C$3,-2),alles!$D$1:$AA$314,(MATCH(N23,alles!$C$1:$C$314,0)),0))*(HLOOKUP($C$3,'CO2 equivalenten'!$E$4:$Q$150,(MATCH(M23,'CO2 equivalenten'!$C$4:$C$150,0)),0))</f>
        <v>0</v>
      </c>
      <c r="E23" s="78">
        <f>(HLOOKUP(CONCATENATE($E$3,-1),alles!$D$1:$AA$314,(MATCH(N23,alles!$C$1:$C$314,0)),0))*(HLOOKUP($E$3,'CO2 equivalenten'!$E$4:$Q$150,(MATCH(M23,'CO2 equivalenten'!$C$4:$C$150,0)),0))</f>
        <v>0</v>
      </c>
      <c r="F23" s="78">
        <f>(HLOOKUP(CONCATENATE($E$3,-2),alles!$D$1:$AA$314,(MATCH(N23,alles!$C$1:$C$314,0)),0))*(HLOOKUP($E$3,'CO2 equivalenten'!$E$4:$Q$150,(MATCH(M23,'CO2 equivalenten'!$C$4:$C$150,0)),0))</f>
        <v>0</v>
      </c>
      <c r="G23" s="78">
        <f>(HLOOKUP(CONCATENATE($G$3,-1),alles!$D$1:$AA$314,(MATCH(N23,alles!$C$1:$C$314,0)),0))*(HLOOKUP($G$3,'CO2 equivalenten'!$E$4:$Q$150,(MATCH(M23,'CO2 equivalenten'!$C$4:$C$150,0)),0))</f>
        <v>0</v>
      </c>
      <c r="H23" s="78">
        <f>(HLOOKUP(CONCATENATE($G$3,-2),alles!$D$1:$AA$314,(MATCH(N23,alles!$C$1:$C$314,0)),0))*(HLOOKUP($G$3,'CO2 equivalenten'!$E$4:$Q$150,(MATCH(M23,'CO2 equivalenten'!$C$4:$C$150,0)),0))</f>
        <v>0</v>
      </c>
      <c r="I23" s="78">
        <f>(HLOOKUP(CONCATENATE($I$3,-1),alles!$D$1:$AA$314,(MATCH(N23,alles!$C$1:$C$314,0)),0))*(HLOOKUP($I$3,'CO2 equivalenten'!$E$4:$Q$150,(MATCH(M23,'CO2 equivalenten'!$C$4:$C$150,0)),0))</f>
        <v>0</v>
      </c>
      <c r="J23" s="78">
        <f>(HLOOKUP(CONCATENATE($I$3,-2),alles!$D$1:$AA$314,(MATCH(N23,alles!$C$1:$C$314,0)),0))*(HLOOKUP($I$3,'CO2 equivalenten'!$E$4:$Q$150,(MATCH(M23,'CO2 equivalenten'!$C$4:$C$150,0)),0))</f>
        <v>0</v>
      </c>
      <c r="K23" s="85" t="s">
        <v>194</v>
      </c>
      <c r="M23" s="39" t="s">
        <v>315</v>
      </c>
      <c r="N23" s="39" t="s">
        <v>315</v>
      </c>
    </row>
    <row r="24" spans="1:14" ht="12" hidden="1" customHeight="1" x14ac:dyDescent="0.2">
      <c r="A24" s="733" t="s">
        <v>201</v>
      </c>
      <c r="B24" s="734"/>
      <c r="C24" s="78">
        <f>(HLOOKUP(CONCATENATE($C$3,-1),alles!$D$1:$AA$314,(MATCH(N24,alles!$C$1:$C$314,0)),0))*(HLOOKUP($C$3,'CO2 equivalenten'!$E$4:$Q$150,(MATCH(M24,'CO2 equivalenten'!$C$4:$C$150,0)),0))</f>
        <v>0</v>
      </c>
      <c r="D24" s="78">
        <f>(HLOOKUP(CONCATENATE($C$3,-2),alles!$D$1:$AA$314,(MATCH(N24,alles!$C$1:$C$314,0)),0))*(HLOOKUP($C$3,'CO2 equivalenten'!$E$4:$Q$150,(MATCH(M24,'CO2 equivalenten'!$C$4:$C$150,0)),0))</f>
        <v>0</v>
      </c>
      <c r="E24" s="78">
        <f>(HLOOKUP(CONCATENATE($E$3,-1),alles!$D$1:$AA$314,(MATCH(N24,alles!$C$1:$C$314,0)),0))*(HLOOKUP($E$3,'CO2 equivalenten'!$E$4:$Q$150,(MATCH(M24,'CO2 equivalenten'!$C$4:$C$150,0)),0))</f>
        <v>0</v>
      </c>
      <c r="F24" s="78">
        <f>(HLOOKUP(CONCATENATE($E$3,-2),alles!$D$1:$AA$314,(MATCH(N24,alles!$C$1:$C$314,0)),0))*(HLOOKUP($E$3,'CO2 equivalenten'!$E$4:$Q$150,(MATCH(M24,'CO2 equivalenten'!$C$4:$C$150,0)),0))</f>
        <v>0</v>
      </c>
      <c r="G24" s="78">
        <f>(HLOOKUP(CONCATENATE($G$3,-1),alles!$D$1:$AA$314,(MATCH(N24,alles!$C$1:$C$314,0)),0))*(HLOOKUP($G$3,'CO2 equivalenten'!$E$4:$Q$150,(MATCH(M24,'CO2 equivalenten'!$C$4:$C$150,0)),0))</f>
        <v>0</v>
      </c>
      <c r="H24" s="78">
        <f>(HLOOKUP(CONCATENATE($G$3,-2),alles!$D$1:$AA$314,(MATCH(N24,alles!$C$1:$C$314,0)),0))*(HLOOKUP($G$3,'CO2 equivalenten'!$E$4:$Q$150,(MATCH(M24,'CO2 equivalenten'!$C$4:$C$150,0)),0))</f>
        <v>0</v>
      </c>
      <c r="I24" s="78">
        <f>(HLOOKUP(CONCATENATE($I$3,-1),alles!$D$1:$AA$314,(MATCH(N24,alles!$C$1:$C$314,0)),0))*(HLOOKUP($I$3,'CO2 equivalenten'!$E$4:$Q$150,(MATCH(M24,'CO2 equivalenten'!$C$4:$C$150,0)),0))</f>
        <v>0</v>
      </c>
      <c r="J24" s="78">
        <f>(HLOOKUP(CONCATENATE($I$3,-2),alles!$D$1:$AA$314,(MATCH(N24,alles!$C$1:$C$314,0)),0))*(HLOOKUP($I$3,'CO2 equivalenten'!$E$4:$Q$150,(MATCH(M24,'CO2 equivalenten'!$C$4:$C$150,0)),0))</f>
        <v>0</v>
      </c>
      <c r="K24" s="85" t="s">
        <v>194</v>
      </c>
      <c r="M24" s="39" t="s">
        <v>315</v>
      </c>
      <c r="N24" s="39" t="s">
        <v>318</v>
      </c>
    </row>
    <row r="25" spans="1:14" ht="12" hidden="1" customHeight="1" x14ac:dyDescent="0.2">
      <c r="A25" s="733" t="s">
        <v>202</v>
      </c>
      <c r="B25" s="734"/>
      <c r="C25" s="78">
        <f>(HLOOKUP(CONCATENATE($C$3,-1),alles!$D$1:$AA$314,(MATCH(N25,alles!$C$1:$C$314,0)),0))*(HLOOKUP($C$3,'CO2 equivalenten'!$E$4:$Q$150,(MATCH(M25,'CO2 equivalenten'!$C$4:$C$150,0)),0))</f>
        <v>0</v>
      </c>
      <c r="D25" s="78">
        <f>(HLOOKUP(CONCATENATE($C$3,-2),alles!$D$1:$AA$314,(MATCH(N25,alles!$C$1:$C$314,0)),0))*(HLOOKUP($C$3,'CO2 equivalenten'!$E$4:$Q$150,(MATCH(M25,'CO2 equivalenten'!$C$4:$C$150,0)),0))</f>
        <v>0</v>
      </c>
      <c r="E25" s="78">
        <f>(HLOOKUP(CONCATENATE($E$3,-1),alles!$D$1:$AA$314,(MATCH(N25,alles!$C$1:$C$314,0)),0))*(HLOOKUP($E$3,'CO2 equivalenten'!$E$4:$Q$150,(MATCH(M25,'CO2 equivalenten'!$C$4:$C$150,0)),0))</f>
        <v>0</v>
      </c>
      <c r="F25" s="78">
        <f>(HLOOKUP(CONCATENATE($E$3,-2),alles!$D$1:$AA$314,(MATCH(N25,alles!$C$1:$C$314,0)),0))*(HLOOKUP($E$3,'CO2 equivalenten'!$E$4:$Q$150,(MATCH(M25,'CO2 equivalenten'!$C$4:$C$150,0)),0))</f>
        <v>0</v>
      </c>
      <c r="G25" s="78">
        <f>(HLOOKUP(CONCATENATE($G$3,-1),alles!$D$1:$AA$314,(MATCH(N25,alles!$C$1:$C$314,0)),0))*(HLOOKUP($G$3,'CO2 equivalenten'!$E$4:$Q$150,(MATCH(M25,'CO2 equivalenten'!$C$4:$C$150,0)),0))</f>
        <v>0</v>
      </c>
      <c r="H25" s="78">
        <f>(HLOOKUP(CONCATENATE($G$3,-2),alles!$D$1:$AA$314,(MATCH(N25,alles!$C$1:$C$314,0)),0))*(HLOOKUP($G$3,'CO2 equivalenten'!$E$4:$Q$150,(MATCH(M25,'CO2 equivalenten'!$C$4:$C$150,0)),0))</f>
        <v>0</v>
      </c>
      <c r="I25" s="78">
        <f>(HLOOKUP(CONCATENATE($I$3,-1),alles!$D$1:$AA$314,(MATCH(N25,alles!$C$1:$C$314,0)),0))*(HLOOKUP($I$3,'CO2 equivalenten'!$E$4:$Q$150,(MATCH(M25,'CO2 equivalenten'!$C$4:$C$150,0)),0))</f>
        <v>0</v>
      </c>
      <c r="J25" s="78">
        <f>(HLOOKUP(CONCATENATE($I$3,-2),alles!$D$1:$AA$314,(MATCH(N25,alles!$C$1:$C$314,0)),0))*(HLOOKUP($I$3,'CO2 equivalenten'!$E$4:$Q$150,(MATCH(M25,'CO2 equivalenten'!$C$4:$C$150,0)),0))</f>
        <v>0</v>
      </c>
      <c r="K25" s="85" t="s">
        <v>194</v>
      </c>
      <c r="M25" s="39" t="s">
        <v>318</v>
      </c>
      <c r="N25" s="39" t="s">
        <v>317</v>
      </c>
    </row>
    <row r="26" spans="1:14" ht="12" hidden="1" customHeight="1" x14ac:dyDescent="0.2">
      <c r="A26" s="733" t="s">
        <v>203</v>
      </c>
      <c r="B26" s="734"/>
      <c r="C26" s="78">
        <f>(HLOOKUP(CONCATENATE($C$3,-1),alles!$D$1:$AA$314,(MATCH(N26,alles!$C$1:$C$314,0)),0))*(HLOOKUP($C$3,'CO2 equivalenten'!$E$4:$Q$150,(MATCH(M26,'CO2 equivalenten'!$C$4:$C$150,0)),0))</f>
        <v>0</v>
      </c>
      <c r="D26" s="78">
        <f>(HLOOKUP(CONCATENATE($C$3,-2),alles!$D$1:$AA$314,(MATCH(N26,alles!$C$1:$C$314,0)),0))*(HLOOKUP($C$3,'CO2 equivalenten'!$E$4:$Q$150,(MATCH(M26,'CO2 equivalenten'!$C$4:$C$150,0)),0))</f>
        <v>0</v>
      </c>
      <c r="E26" s="78">
        <f>(HLOOKUP(CONCATENATE($E$3,-1),alles!$D$1:$AA$314,(MATCH(N26,alles!$C$1:$C$314,0)),0))*(HLOOKUP($E$3,'CO2 equivalenten'!$E$4:$Q$150,(MATCH(M26,'CO2 equivalenten'!$C$4:$C$150,0)),0))</f>
        <v>0</v>
      </c>
      <c r="F26" s="78">
        <f>(HLOOKUP(CONCATENATE($E$3,-2),alles!$D$1:$AA$314,(MATCH(N26,alles!$C$1:$C$314,0)),0))*(HLOOKUP($E$3,'CO2 equivalenten'!$E$4:$Q$150,(MATCH(M26,'CO2 equivalenten'!$C$4:$C$150,0)),0))</f>
        <v>0</v>
      </c>
      <c r="G26" s="78">
        <f>(HLOOKUP(CONCATENATE($G$3,-1),alles!$D$1:$AA$314,(MATCH(N26,alles!$C$1:$C$314,0)),0))*(HLOOKUP($G$3,'CO2 equivalenten'!$E$4:$Q$150,(MATCH(M26,'CO2 equivalenten'!$C$4:$C$150,0)),0))</f>
        <v>0</v>
      </c>
      <c r="H26" s="78">
        <f>(HLOOKUP(CONCATENATE($G$3,-2),alles!$D$1:$AA$314,(MATCH(N26,alles!$C$1:$C$314,0)),0))*(HLOOKUP($G$3,'CO2 equivalenten'!$E$4:$Q$150,(MATCH(M26,'CO2 equivalenten'!$C$4:$C$150,0)),0))</f>
        <v>0</v>
      </c>
      <c r="I26" s="78">
        <f>(HLOOKUP(CONCATENATE($I$3,-1),alles!$D$1:$AA$314,(MATCH(N26,alles!$C$1:$C$314,0)),0))*(HLOOKUP($I$3,'CO2 equivalenten'!$E$4:$Q$150,(MATCH(M26,'CO2 equivalenten'!$C$4:$C$150,0)),0))</f>
        <v>0</v>
      </c>
      <c r="J26" s="78">
        <f>(HLOOKUP(CONCATENATE($I$3,-2),alles!$D$1:$AA$314,(MATCH(N26,alles!$C$1:$C$314,0)),0))*(HLOOKUP($I$3,'CO2 equivalenten'!$E$4:$Q$150,(MATCH(M26,'CO2 equivalenten'!$C$4:$C$150,0)),0))</f>
        <v>0</v>
      </c>
      <c r="K26" s="85" t="s">
        <v>194</v>
      </c>
      <c r="M26" s="39" t="s">
        <v>319</v>
      </c>
      <c r="N26" s="39" t="s">
        <v>319</v>
      </c>
    </row>
    <row r="27" spans="1:14" ht="12" hidden="1" customHeight="1" x14ac:dyDescent="0.2">
      <c r="A27" s="733" t="s">
        <v>204</v>
      </c>
      <c r="B27" s="734"/>
      <c r="C27" s="78">
        <f>(HLOOKUP(CONCATENATE($C$3,-1),alles!$D$1:$AA$314,(MATCH(N27,alles!$C$1:$C$314,0)),0))*(HLOOKUP($C$3,'CO2 equivalenten'!$E$4:$Q$150,(MATCH(M27,'CO2 equivalenten'!$C$4:$C$150,0)),0))</f>
        <v>0</v>
      </c>
      <c r="D27" s="78">
        <f>(HLOOKUP(CONCATENATE($C$3,-2),alles!$D$1:$AA$314,(MATCH(N27,alles!$C$1:$C$314,0)),0))*(HLOOKUP($C$3,'CO2 equivalenten'!$E$4:$Q$150,(MATCH(M27,'CO2 equivalenten'!$C$4:$C$150,0)),0))</f>
        <v>0</v>
      </c>
      <c r="E27" s="78">
        <f>(HLOOKUP(CONCATENATE($E$3,-1),alles!$D$1:$AA$314,(MATCH(N27,alles!$C$1:$C$314,0)),0))*(HLOOKUP($E$3,'CO2 equivalenten'!$E$4:$Q$150,(MATCH(M27,'CO2 equivalenten'!$C$4:$C$150,0)),0))</f>
        <v>0</v>
      </c>
      <c r="F27" s="78">
        <f>(HLOOKUP(CONCATENATE($E$3,-2),alles!$D$1:$AA$314,(MATCH(N27,alles!$C$1:$C$314,0)),0))*(HLOOKUP($E$3,'CO2 equivalenten'!$E$4:$Q$150,(MATCH(M27,'CO2 equivalenten'!$C$4:$C$150,0)),0))</f>
        <v>0</v>
      </c>
      <c r="G27" s="78">
        <f>(HLOOKUP(CONCATENATE($G$3,-1),alles!$D$1:$AA$314,(MATCH(N27,alles!$C$1:$C$314,0)),0))*(HLOOKUP($G$3,'CO2 equivalenten'!$E$4:$Q$150,(MATCH(M27,'CO2 equivalenten'!$C$4:$C$150,0)),0))</f>
        <v>0</v>
      </c>
      <c r="H27" s="78">
        <f>(HLOOKUP(CONCATENATE($G$3,-2),alles!$D$1:$AA$314,(MATCH(N27,alles!$C$1:$C$314,0)),0))*(HLOOKUP($G$3,'CO2 equivalenten'!$E$4:$Q$150,(MATCH(M27,'CO2 equivalenten'!$C$4:$C$150,0)),0))</f>
        <v>0</v>
      </c>
      <c r="I27" s="78">
        <f>(HLOOKUP(CONCATENATE($I$3,-1),alles!$D$1:$AA$314,(MATCH(N27,alles!$C$1:$C$314,0)),0))*(HLOOKUP($I$3,'CO2 equivalenten'!$E$4:$Q$150,(MATCH(M27,'CO2 equivalenten'!$C$4:$C$150,0)),0))</f>
        <v>0</v>
      </c>
      <c r="J27" s="78">
        <f>(HLOOKUP(CONCATENATE($I$3,-2),alles!$D$1:$AA$314,(MATCH(N27,alles!$C$1:$C$314,0)),0))*(HLOOKUP($I$3,'CO2 equivalenten'!$E$4:$Q$150,(MATCH(M27,'CO2 equivalenten'!$C$4:$C$150,0)),0))</f>
        <v>0</v>
      </c>
      <c r="K27" s="85" t="s">
        <v>194</v>
      </c>
      <c r="M27" s="39" t="s">
        <v>320</v>
      </c>
      <c r="N27" s="39" t="s">
        <v>320</v>
      </c>
    </row>
    <row r="28" spans="1:14" ht="22" hidden="1" customHeight="1" x14ac:dyDescent="0.15">
      <c r="A28" s="753" t="s">
        <v>205</v>
      </c>
      <c r="B28" s="754"/>
      <c r="C28" s="81">
        <f>(HLOOKUP(CONCATENATE($C$3,-1),alles!$D$1:$AA$314,(MATCH(N28,alles!$C$1:$C$314,0)),0))*(HLOOKUP($C$3,'CO2 equivalenten'!$E$4:$Q$150,(MATCH(M28,'CO2 equivalenten'!$C$4:$C$150,0)),0))</f>
        <v>0</v>
      </c>
      <c r="D28" s="81">
        <f>(HLOOKUP(CONCATENATE($C$3,-2),alles!$D$1:$AA$314,(MATCH(N28,alles!$C$1:$C$314,0)),0))*(HLOOKUP($C$3,'CO2 equivalenten'!$E$4:$Q$150,(MATCH(M28,'CO2 equivalenten'!$C$4:$C$150,0)),0))</f>
        <v>0</v>
      </c>
      <c r="E28" s="81">
        <f>(HLOOKUP(CONCATENATE($E$3,-1),alles!$D$1:$AA$314,(MATCH(N28,alles!$C$1:$C$314,0)),0))*(HLOOKUP($E$3,'CO2 equivalenten'!$E$4:$Q$150,(MATCH(M28,'CO2 equivalenten'!$C$4:$C$150,0)),0))</f>
        <v>0</v>
      </c>
      <c r="F28" s="81">
        <f>(HLOOKUP(CONCATENATE($E$3,-2),alles!$D$1:$AA$314,(MATCH(N28,alles!$C$1:$C$314,0)),0))*(HLOOKUP($E$3,'CO2 equivalenten'!$E$4:$Q$150,(MATCH(M28,'CO2 equivalenten'!$C$4:$C$150,0)),0))</f>
        <v>0</v>
      </c>
      <c r="G28" s="81">
        <f>(HLOOKUP(CONCATENATE($G$3,-1),alles!$D$1:$AA$314,(MATCH(N28,alles!$C$1:$C$314,0)),0))*(HLOOKUP($G$3,'CO2 equivalenten'!$E$4:$Q$150,(MATCH(M28,'CO2 equivalenten'!$C$4:$C$150,0)),0))</f>
        <v>0</v>
      </c>
      <c r="H28" s="81">
        <f>(HLOOKUP(CONCATENATE($G$3,-2),alles!$D$1:$AA$314,(MATCH(N28,alles!$C$1:$C$314,0)),0))*(HLOOKUP($G$3,'CO2 equivalenten'!$E$4:$Q$150,(MATCH(M28,'CO2 equivalenten'!$C$4:$C$150,0)),0))</f>
        <v>0</v>
      </c>
      <c r="I28" s="81">
        <f>(HLOOKUP(CONCATENATE($I$3,-1),alles!$D$1:$AA$314,(MATCH(N28,alles!$C$1:$C$314,0)),0))*(HLOOKUP($I$3,'CO2 equivalenten'!$E$4:$Q$150,(MATCH(M28,'CO2 equivalenten'!$C$4:$C$150,0)),0))</f>
        <v>0</v>
      </c>
      <c r="J28" s="81">
        <f>(HLOOKUP(CONCATENATE($I$3,-2),alles!$D$1:$AA$314,(MATCH(N28,alles!$C$1:$C$314,0)),0))*(HLOOKUP($I$3,'CO2 equivalenten'!$E$4:$Q$150,(MATCH(M28,'CO2 equivalenten'!$C$4:$C$150,0)),0))</f>
        <v>0</v>
      </c>
      <c r="K28" s="126" t="s">
        <v>135</v>
      </c>
      <c r="M28" s="39" t="s">
        <v>321</v>
      </c>
      <c r="N28" s="39" t="s">
        <v>321</v>
      </c>
    </row>
    <row r="29" spans="1:14" x14ac:dyDescent="0.15">
      <c r="A29" s="76" t="s">
        <v>123</v>
      </c>
      <c r="B29" s="90"/>
      <c r="C29" s="81">
        <f>(HLOOKUP(CONCATENATE($C$3,-1),alles!$D$1:$AA$314,(MATCH(N29,alles!$C$1:$C$314,0)),0))*(HLOOKUP($C$3,'CO2 equivalenten'!$E$4:$Q$150,(MATCH(M29,'CO2 equivalenten'!$C$4:$C$150,0)),0))</f>
        <v>0</v>
      </c>
      <c r="D29" s="81">
        <f>(HLOOKUP(CONCATENATE($C$3,-2),alles!$D$1:$AA$314,(MATCH(N29,alles!$C$1:$C$314,0)),0))*(HLOOKUP($C$3,'CO2 equivalenten'!$E$4:$Q$150,(MATCH(M29,'CO2 equivalenten'!$C$4:$C$150,0)),0))</f>
        <v>0</v>
      </c>
      <c r="E29" s="81">
        <f>(HLOOKUP(CONCATENATE($E$3,-1),alles!$D$1:$AA$314,(MATCH(N29,alles!$C$1:$C$314,0)),0))*(HLOOKUP($E$3,'CO2 equivalenten'!$E$4:$Q$150,(MATCH(M29,'CO2 equivalenten'!$C$4:$C$150,0)),0))</f>
        <v>0</v>
      </c>
      <c r="F29" s="81">
        <f>(HLOOKUP(CONCATENATE($E$3,-2),alles!$D$1:$AA$314,(MATCH(N29,alles!$C$1:$C$314,0)),0))*(HLOOKUP($E$3,'CO2 equivalenten'!$E$4:$Q$150,(MATCH(M29,'CO2 equivalenten'!$C$4:$C$150,0)),0))</f>
        <v>0</v>
      </c>
      <c r="G29" s="81">
        <f>(HLOOKUP(CONCATENATE($G$3,-1),alles!$D$1:$AA$314,(MATCH(N29,alles!$C$1:$C$314,0)),0))*(HLOOKUP($G$3,'CO2 equivalenten'!$E$4:$Q$150,(MATCH(M29,'CO2 equivalenten'!$C$4:$C$150,0)),0))</f>
        <v>0</v>
      </c>
      <c r="H29" s="81">
        <f>(HLOOKUP(CONCATENATE($G$3,-2),alles!$D$1:$AA$314,(MATCH(N29,alles!$C$1:$C$314,0)),0))*(HLOOKUP($G$3,'CO2 equivalenten'!$E$4:$Q$150,(MATCH(M29,'CO2 equivalenten'!$C$4:$C$150,0)),0))</f>
        <v>0</v>
      </c>
      <c r="I29" s="81">
        <f>(HLOOKUP(CONCATENATE($I$3,-1),alles!$D$1:$AA$314,(MATCH(N29,alles!$C$1:$C$314,0)),0))*(HLOOKUP($I$3,'CO2 equivalenten'!$E$4:$Q$150,(MATCH(M29,'CO2 equivalenten'!$C$4:$C$150,0)),0))</f>
        <v>0</v>
      </c>
      <c r="J29" s="81">
        <f>(HLOOKUP(CONCATENATE($I$3,-2),alles!$D$1:$AA$314,(MATCH(N29,alles!$C$1:$C$314,0)),0))*(HLOOKUP($I$3,'CO2 equivalenten'!$E$4:$Q$150,(MATCH(M29,'CO2 equivalenten'!$C$4:$C$150,0)),0))</f>
        <v>0</v>
      </c>
      <c r="K29" s="90" t="s">
        <v>135</v>
      </c>
      <c r="M29" s="39" t="s">
        <v>296</v>
      </c>
      <c r="N29" s="39" t="s">
        <v>301</v>
      </c>
    </row>
    <row r="30" spans="1:14" x14ac:dyDescent="0.15">
      <c r="A30" s="74" t="s">
        <v>12</v>
      </c>
      <c r="B30" s="85"/>
      <c r="C30" s="78">
        <f>(HLOOKUP(CONCATENATE($C$3,-1),alles!$D$1:$AA$314,(MATCH(N30,alles!$C$1:$C$314,0)),0))*(HLOOKUP($C$3,'CO2 equivalenten'!$E$4:$Q$150,(MATCH(M30,'CO2 equivalenten'!$C$4:$C$150,0)),0))</f>
        <v>0</v>
      </c>
      <c r="D30" s="78">
        <f>(HLOOKUP(CONCATENATE($C$3,-2),alles!$D$1:$AA$314,(MATCH(N30,alles!$C$1:$C$314,0)),0))*(HLOOKUP($C$3,'CO2 equivalenten'!$E$4:$Q$150,(MATCH(M30,'CO2 equivalenten'!$C$4:$C$150,0)),0))</f>
        <v>0</v>
      </c>
      <c r="E30" s="78">
        <f>(HLOOKUP(CONCATENATE($E$3,-1),alles!$D$1:$AA$314,(MATCH(N30,alles!$C$1:$C$314,0)),0))*(HLOOKUP($E$3,'CO2 equivalenten'!$E$4:$Q$150,(MATCH(M30,'CO2 equivalenten'!$C$4:$C$150,0)),0))</f>
        <v>0</v>
      </c>
      <c r="F30" s="78">
        <f>(HLOOKUP(CONCATENATE($E$3,-2),alles!$D$1:$AA$314,(MATCH(N30,alles!$C$1:$C$314,0)),0))*(HLOOKUP($E$3,'CO2 equivalenten'!$E$4:$Q$150,(MATCH(M30,'CO2 equivalenten'!$C$4:$C$150,0)),0))</f>
        <v>0</v>
      </c>
      <c r="G30" s="78">
        <f>(HLOOKUP(CONCATENATE($G$3,-1),alles!$D$1:$AA$314,(MATCH(N30,alles!$C$1:$C$314,0)),0))*(HLOOKUP($G$3,'CO2 equivalenten'!$E$4:$Q$150,(MATCH(M30,'CO2 equivalenten'!$C$4:$C$150,0)),0))</f>
        <v>0</v>
      </c>
      <c r="H30" s="78">
        <f>(HLOOKUP(CONCATENATE($G$3,-2),alles!$D$1:$AA$314,(MATCH(N30,alles!$C$1:$C$314,0)),0))*(HLOOKUP($G$3,'CO2 equivalenten'!$E$4:$Q$150,(MATCH(M30,'CO2 equivalenten'!$C$4:$C$150,0)),0))</f>
        <v>0</v>
      </c>
      <c r="I30" s="78">
        <f>(HLOOKUP(CONCATENATE($I$3,-1),alles!$D$1:$AA$314,(MATCH(N30,alles!$C$1:$C$314,0)),0))*(HLOOKUP($I$3,'CO2 equivalenten'!$E$4:$Q$150,(MATCH(M30,'CO2 equivalenten'!$C$4:$C$150,0)),0))</f>
        <v>0</v>
      </c>
      <c r="J30" s="78">
        <f>(HLOOKUP(CONCATENATE($I$3,-2),alles!$D$1:$AA$314,(MATCH(N30,alles!$C$1:$C$314,0)),0))*(HLOOKUP($I$3,'CO2 equivalenten'!$E$4:$Q$150,(MATCH(M30,'CO2 equivalenten'!$C$4:$C$150,0)),0))</f>
        <v>0</v>
      </c>
      <c r="K30" s="85" t="s">
        <v>135</v>
      </c>
      <c r="M30" s="39" t="s">
        <v>297</v>
      </c>
      <c r="N30" s="39" t="s">
        <v>302</v>
      </c>
    </row>
    <row r="31" spans="1:14" x14ac:dyDescent="0.15">
      <c r="A31" s="96"/>
      <c r="B31" s="127" t="s">
        <v>31</v>
      </c>
      <c r="C31" s="128">
        <f t="shared" ref="C31:J31" si="3">SUM(C29:C30)+SUM(C12:C17)+C6+C5</f>
        <v>950.59213920000013</v>
      </c>
      <c r="D31" s="129">
        <f t="shared" si="3"/>
        <v>866.6851594000002</v>
      </c>
      <c r="E31" s="130">
        <f t="shared" si="3"/>
        <v>888.37195660000009</v>
      </c>
      <c r="F31" s="131">
        <f t="shared" si="3"/>
        <v>935.80334139999991</v>
      </c>
      <c r="G31" s="128">
        <f t="shared" si="3"/>
        <v>962.35559192999983</v>
      </c>
      <c r="H31" s="129">
        <f t="shared" si="3"/>
        <v>951.97100309999985</v>
      </c>
      <c r="I31" s="130">
        <f t="shared" si="3"/>
        <v>1038.48635408</v>
      </c>
      <c r="J31" s="131">
        <f t="shared" si="3"/>
        <v>1012.0245879699999</v>
      </c>
      <c r="K31" s="99" t="s">
        <v>136</v>
      </c>
    </row>
    <row r="32" spans="1:14" x14ac:dyDescent="0.15">
      <c r="A32" s="105"/>
      <c r="B32" s="105"/>
      <c r="C32" s="72"/>
      <c r="D32" s="72"/>
      <c r="E32" s="72"/>
      <c r="F32" s="72"/>
      <c r="G32" s="72"/>
      <c r="H32" s="72"/>
      <c r="I32" s="72"/>
      <c r="J32" s="72"/>
      <c r="K32" s="105"/>
    </row>
    <row r="33" spans="1:14" x14ac:dyDescent="0.15">
      <c r="A33" s="132" t="s">
        <v>137</v>
      </c>
      <c r="B33" s="133" t="s">
        <v>31</v>
      </c>
      <c r="C33" s="134">
        <f>SUM(C34:C43)</f>
        <v>21.013556582612441</v>
      </c>
      <c r="D33" s="129">
        <f t="shared" ref="D33:J33" si="4">SUM(D34:D43)</f>
        <v>0</v>
      </c>
      <c r="E33" s="129">
        <f t="shared" si="4"/>
        <v>0</v>
      </c>
      <c r="F33" s="129">
        <f t="shared" si="4"/>
        <v>0</v>
      </c>
      <c r="G33" s="129">
        <f t="shared" si="4"/>
        <v>0</v>
      </c>
      <c r="H33" s="129">
        <f t="shared" si="4"/>
        <v>0</v>
      </c>
      <c r="I33" s="129">
        <f t="shared" si="4"/>
        <v>0</v>
      </c>
      <c r="J33" s="129">
        <f t="shared" si="4"/>
        <v>0</v>
      </c>
      <c r="K33" s="99" t="s">
        <v>136</v>
      </c>
      <c r="M33" s="39" t="s">
        <v>298</v>
      </c>
    </row>
    <row r="34" spans="1:14" x14ac:dyDescent="0.15">
      <c r="A34" s="74" t="s">
        <v>138</v>
      </c>
      <c r="B34" s="85" t="s">
        <v>26</v>
      </c>
      <c r="C34" s="78">
        <f>(HLOOKUP(CONCATENATE($C$3,-1),alles!$D$1:$AA$314,(MATCH(N34,alles!$C$1:$C$314,0)),0))*(HLOOKUP($C$3,'CO2 equivalenten'!$E$4:$Q$150,(MATCH(M34,'CO2 equivalenten'!$C$4:$C$150,0)),0))</f>
        <v>21.013556582612441</v>
      </c>
      <c r="D34" s="78">
        <f>(HLOOKUP(CONCATENATE($C$3,-2),alles!$D$1:$AA$314,(MATCH(N34,alles!$C$1:$C$314,0)),0))*(HLOOKUP($C$3,'CO2 equivalenten'!$E$4:$Q$150,(MATCH(M34,'CO2 equivalenten'!$C$4:$C$150,0)),0))</f>
        <v>0</v>
      </c>
      <c r="E34" s="78">
        <f>(HLOOKUP(CONCATENATE($E$3,-1),alles!$D$1:$AA$314,(MATCH(N34,alles!$C$1:$C$314,0)),0))*(HLOOKUP($E$3,'CO2 equivalenten'!$E$4:$Q$150,(MATCH(M34,'CO2 equivalenten'!$C$4:$C$150,0)),0))</f>
        <v>0</v>
      </c>
      <c r="F34" s="78">
        <f>(HLOOKUP(CONCATENATE($E$3,-2),alles!$D$1:$AA$314,(MATCH(N34,alles!$C$1:$C$314,0)),0))*(HLOOKUP($E$3,'CO2 equivalenten'!$E$4:$Q$150,(MATCH(M34,'CO2 equivalenten'!$C$4:$C$150,0)),0))</f>
        <v>0</v>
      </c>
      <c r="G34" s="78">
        <f>(HLOOKUP(CONCATENATE($G$3,-1),alles!$D$1:$AA$314,(MATCH(N34,alles!$C$1:$C$314,0)),0))*(HLOOKUP($G$3,'CO2 equivalenten'!$E$4:$Q$150,(MATCH(M34,'CO2 equivalenten'!$C$4:$C$150,0)),0))</f>
        <v>0</v>
      </c>
      <c r="H34" s="78">
        <f>(HLOOKUP(CONCATENATE($G$3,-2),alles!$D$1:$AA$314,(MATCH(N34,alles!$C$1:$C$314,0)),0))*(HLOOKUP($G$3,'CO2 equivalenten'!$E$4:$Q$150,(MATCH(M34,'CO2 equivalenten'!$C$4:$C$150,0)),0))</f>
        <v>0</v>
      </c>
      <c r="I34" s="78">
        <f>(HLOOKUP(CONCATENATE($I$3,-1),alles!$D$1:$AA$314,(MATCH(N34,alles!$C$1:$C$314,0)),0))*(HLOOKUP($I$3,'CO2 equivalenten'!$E$4:$Q$150,(MATCH(M34,'CO2 equivalenten'!$C$4:$C$150,0)),0))</f>
        <v>0</v>
      </c>
      <c r="J34" s="78">
        <f>(HLOOKUP(CONCATENATE($I$3,-2),alles!$D$1:$AA$314,(MATCH(N34,alles!$C$1:$C$314,0)),0))*(HLOOKUP($I$3,'CO2 equivalenten'!$E$4:$Q$150,(MATCH(M34,'CO2 equivalenten'!$C$4:$C$150,0)),0))</f>
        <v>0</v>
      </c>
      <c r="K34" s="82" t="s">
        <v>135</v>
      </c>
      <c r="M34" s="39" t="s">
        <v>322</v>
      </c>
      <c r="N34" s="39" t="s">
        <v>322</v>
      </c>
    </row>
    <row r="35" spans="1:14" x14ac:dyDescent="0.15">
      <c r="A35" s="74" t="s">
        <v>139</v>
      </c>
      <c r="B35" s="85" t="s">
        <v>30</v>
      </c>
      <c r="C35" s="78">
        <f>(HLOOKUP(CONCATENATE($C$3,-1),alles!$D$1:$AA$314,(MATCH(N35,alles!$C$1:$C$314,0)),0))*(HLOOKUP($C$3,'CO2 equivalenten'!$E$4:$Q$150,(MATCH(M35,'CO2 equivalenten'!$C$4:$C$150,0)),0))</f>
        <v>0</v>
      </c>
      <c r="D35" s="78">
        <f>(HLOOKUP(CONCATENATE($C$3,-2),alles!$D$1:$AA$314,(MATCH(N35,alles!$C$1:$C$314,0)),0))*(HLOOKUP($C$3,'CO2 equivalenten'!$E$4:$Q$150,(MATCH(M35,'CO2 equivalenten'!$C$4:$C$150,0)),0))</f>
        <v>0</v>
      </c>
      <c r="E35" s="78">
        <f>(HLOOKUP(CONCATENATE($E$3,-1),alles!$D$1:$AA$314,(MATCH(N35,alles!$C$1:$C$314,0)),0))*(HLOOKUP($E$3,'CO2 equivalenten'!$E$4:$Q$150,(MATCH(M35,'CO2 equivalenten'!$C$4:$C$150,0)),0))</f>
        <v>0</v>
      </c>
      <c r="F35" s="78">
        <f>(HLOOKUP(CONCATENATE($E$3,-2),alles!$D$1:$AA$314,(MATCH(N35,alles!$C$1:$C$314,0)),0))*(HLOOKUP($E$3,'CO2 equivalenten'!$E$4:$Q$150,(MATCH(M35,'CO2 equivalenten'!$C$4:$C$150,0)),0))</f>
        <v>0</v>
      </c>
      <c r="G35" s="78">
        <f>(HLOOKUP(CONCATENATE($G$3,-1),alles!$D$1:$AA$314,(MATCH(N35,alles!$C$1:$C$314,0)),0))*(HLOOKUP($G$3,'CO2 equivalenten'!$E$4:$Q$150,(MATCH(M35,'CO2 equivalenten'!$C$4:$C$150,0)),0))</f>
        <v>0</v>
      </c>
      <c r="H35" s="78">
        <f>(HLOOKUP(CONCATENATE($G$3,-2),alles!$D$1:$AA$314,(MATCH(N35,alles!$C$1:$C$314,0)),0))*(HLOOKUP($G$3,'CO2 equivalenten'!$E$4:$Q$150,(MATCH(M35,'CO2 equivalenten'!$C$4:$C$150,0)),0))</f>
        <v>0</v>
      </c>
      <c r="I35" s="78">
        <f>(HLOOKUP(CONCATENATE($I$3,-1),alles!$D$1:$AA$314,(MATCH(N35,alles!$C$1:$C$314,0)),0))*(HLOOKUP($I$3,'CO2 equivalenten'!$E$4:$Q$150,(MATCH(M35,'CO2 equivalenten'!$C$4:$C$150,0)),0))</f>
        <v>0</v>
      </c>
      <c r="J35" s="78">
        <f>(HLOOKUP(CONCATENATE($I$3,-2),alles!$D$1:$AA$314,(MATCH(N35,alles!$C$1:$C$314,0)),0))*(HLOOKUP($I$3,'CO2 equivalenten'!$E$4:$Q$150,(MATCH(M35,'CO2 equivalenten'!$C$4:$C$150,0)),0))</f>
        <v>0</v>
      </c>
      <c r="K35" s="85" t="s">
        <v>135</v>
      </c>
      <c r="M35" s="39" t="s">
        <v>323</v>
      </c>
      <c r="N35" s="39" t="s">
        <v>323</v>
      </c>
    </row>
    <row r="36" spans="1:14" x14ac:dyDescent="0.15">
      <c r="A36" s="74"/>
      <c r="B36" s="85" t="s">
        <v>28</v>
      </c>
      <c r="C36" s="78">
        <f>(HLOOKUP(CONCATENATE($C$3,-1),alles!$D$1:$AA$314,(MATCH(N36,alles!$C$1:$C$314,0)),0))*(HLOOKUP($C$3,'CO2 equivalenten'!$E$4:$Q$150,(MATCH(M36,'CO2 equivalenten'!$C$4:$C$150,0)),0))</f>
        <v>0</v>
      </c>
      <c r="D36" s="78">
        <f>(HLOOKUP(CONCATENATE($C$3,-2),alles!$D$1:$AA$314,(MATCH(N36,alles!$C$1:$C$314,0)),0))*(HLOOKUP($C$3,'CO2 equivalenten'!$E$4:$Q$150,(MATCH(M36,'CO2 equivalenten'!$C$4:$C$150,0)),0))</f>
        <v>0</v>
      </c>
      <c r="E36" s="78">
        <f>(HLOOKUP(CONCATENATE($E$3,-1),alles!$D$1:$AA$314,(MATCH(N36,alles!$C$1:$C$314,0)),0))*(HLOOKUP($E$3,'CO2 equivalenten'!$E$4:$Q$150,(MATCH(M36,'CO2 equivalenten'!$C$4:$C$150,0)),0))</f>
        <v>0</v>
      </c>
      <c r="F36" s="78">
        <f>(HLOOKUP(CONCATENATE($E$3,-2),alles!$D$1:$AA$314,(MATCH(N36,alles!$C$1:$C$314,0)),0))*(HLOOKUP($E$3,'CO2 equivalenten'!$E$4:$Q$150,(MATCH(M36,'CO2 equivalenten'!$C$4:$C$150,0)),0))</f>
        <v>0</v>
      </c>
      <c r="G36" s="78">
        <f>(HLOOKUP(CONCATENATE($G$3,-1),alles!$D$1:$AA$314,(MATCH(N36,alles!$C$1:$C$314,0)),0))*(HLOOKUP($G$3,'CO2 equivalenten'!$E$4:$Q$150,(MATCH(M36,'CO2 equivalenten'!$C$4:$C$150,0)),0))</f>
        <v>0</v>
      </c>
      <c r="H36" s="78">
        <f>(HLOOKUP(CONCATENATE($G$3,-2),alles!$D$1:$AA$314,(MATCH(N36,alles!$C$1:$C$314,0)),0))*(HLOOKUP($G$3,'CO2 equivalenten'!$E$4:$Q$150,(MATCH(M36,'CO2 equivalenten'!$C$4:$C$150,0)),0))</f>
        <v>0</v>
      </c>
      <c r="I36" s="78">
        <f>(HLOOKUP(CONCATENATE($I$3,-1),alles!$D$1:$AA$314,(MATCH(N36,alles!$C$1:$C$314,0)),0))*(HLOOKUP($I$3,'CO2 equivalenten'!$E$4:$Q$150,(MATCH(M36,'CO2 equivalenten'!$C$4:$C$150,0)),0))</f>
        <v>0</v>
      </c>
      <c r="J36" s="78">
        <f>(HLOOKUP(CONCATENATE($I$3,-2),alles!$D$1:$AA$314,(MATCH(N36,alles!$C$1:$C$314,0)),0))*(HLOOKUP($I$3,'CO2 equivalenten'!$E$4:$Q$150,(MATCH(M36,'CO2 equivalenten'!$C$4:$C$150,0)),0))</f>
        <v>0</v>
      </c>
      <c r="K36" s="85" t="s">
        <v>135</v>
      </c>
      <c r="M36" s="39" t="s">
        <v>324</v>
      </c>
      <c r="N36" s="39" t="s">
        <v>324</v>
      </c>
    </row>
    <row r="37" spans="1:14" x14ac:dyDescent="0.15">
      <c r="A37" s="74"/>
      <c r="B37" s="85" t="s">
        <v>141</v>
      </c>
      <c r="C37" s="78">
        <f>(HLOOKUP(CONCATENATE($C$3,-1),alles!$D$1:$AA$314,(MATCH(N37,alles!$C$1:$C$314,0)),0))*(HLOOKUP($C$3,'CO2 equivalenten'!$E$4:$Q$150,(MATCH(M37,'CO2 equivalenten'!$C$4:$C$150,0)),0))</f>
        <v>0</v>
      </c>
      <c r="D37" s="78">
        <f>(HLOOKUP(CONCATENATE($C$3,-2),alles!$D$1:$AA$314,(MATCH(N37,alles!$C$1:$C$314,0)),0))*(HLOOKUP($C$3,'CO2 equivalenten'!$E$4:$Q$150,(MATCH(M37,'CO2 equivalenten'!$C$4:$C$150,0)),0))</f>
        <v>0</v>
      </c>
      <c r="E37" s="78">
        <f>(HLOOKUP(CONCATENATE($E$3,-1),alles!$D$1:$AA$314,(MATCH(N37,alles!$C$1:$C$314,0)),0))*(HLOOKUP($E$3,'CO2 equivalenten'!$E$4:$Q$150,(MATCH(M37,'CO2 equivalenten'!$C$4:$C$150,0)),0))</f>
        <v>0</v>
      </c>
      <c r="F37" s="78">
        <f>(HLOOKUP(CONCATENATE($E$3,-2),alles!$D$1:$AA$314,(MATCH(N37,alles!$C$1:$C$314,0)),0))*(HLOOKUP($E$3,'CO2 equivalenten'!$E$4:$Q$150,(MATCH(M37,'CO2 equivalenten'!$C$4:$C$150,0)),0))</f>
        <v>0</v>
      </c>
      <c r="G37" s="78">
        <f>(HLOOKUP(CONCATENATE($G$3,-1),alles!$D$1:$AA$314,(MATCH(N37,alles!$C$1:$C$314,0)),0))*(HLOOKUP($G$3,'CO2 equivalenten'!$E$4:$Q$150,(MATCH(M37,'CO2 equivalenten'!$C$4:$C$150,0)),0))</f>
        <v>0</v>
      </c>
      <c r="H37" s="78">
        <f>(HLOOKUP(CONCATENATE($G$3,-2),alles!$D$1:$AA$314,(MATCH(N37,alles!$C$1:$C$314,0)),0))*(HLOOKUP($G$3,'CO2 equivalenten'!$E$4:$Q$150,(MATCH(M37,'CO2 equivalenten'!$C$4:$C$150,0)),0))</f>
        <v>0</v>
      </c>
      <c r="I37" s="78">
        <f>(HLOOKUP(CONCATENATE($I$3,-1),alles!$D$1:$AA$314,(MATCH(N37,alles!$C$1:$C$314,0)),0))*(HLOOKUP($I$3,'CO2 equivalenten'!$E$4:$Q$150,(MATCH(M37,'CO2 equivalenten'!$C$4:$C$150,0)),0))</f>
        <v>0</v>
      </c>
      <c r="J37" s="78">
        <f>(HLOOKUP(CONCATENATE($I$3,-2),alles!$D$1:$AA$314,(MATCH(N37,alles!$C$1:$C$314,0)),0))*(HLOOKUP($I$3,'CO2 equivalenten'!$E$4:$Q$150,(MATCH(M37,'CO2 equivalenten'!$C$4:$C$150,0)),0))</f>
        <v>0</v>
      </c>
      <c r="K37" s="85" t="s">
        <v>135</v>
      </c>
      <c r="M37" s="39" t="s">
        <v>271</v>
      </c>
      <c r="N37" s="39" t="s">
        <v>271</v>
      </c>
    </row>
    <row r="38" spans="1:14" x14ac:dyDescent="0.15">
      <c r="A38" s="76"/>
      <c r="B38" s="90" t="s">
        <v>12</v>
      </c>
      <c r="C38" s="81">
        <f>(HLOOKUP(CONCATENATE($C$3,-1),alles!$D$1:$AA$314,(MATCH(N38,alles!$C$1:$C$314,0)),0))*(HLOOKUP($C$3,'CO2 equivalenten'!$E$4:$Q$150,(MATCH(M38,'CO2 equivalenten'!$C$4:$C$150,0)),0))</f>
        <v>0</v>
      </c>
      <c r="D38" s="81">
        <f>(HLOOKUP(CONCATENATE($C$3,-2),alles!$D$1:$AA$314,(MATCH(N38,alles!$C$1:$C$314,0)),0))*(HLOOKUP($C$3,'CO2 equivalenten'!$E$4:$Q$150,(MATCH(M38,'CO2 equivalenten'!$C$4:$C$150,0)),0))</f>
        <v>0</v>
      </c>
      <c r="E38" s="81">
        <f>(HLOOKUP(CONCATENATE($E$3,-1),alles!$D$1:$AA$314,(MATCH(N38,alles!$C$1:$C$314,0)),0))*(HLOOKUP($E$3,'CO2 equivalenten'!$E$4:$Q$150,(MATCH(M38,'CO2 equivalenten'!$C$4:$C$150,0)),0))</f>
        <v>0</v>
      </c>
      <c r="F38" s="81">
        <f>(HLOOKUP(CONCATENATE($E$3,-2),alles!$D$1:$AA$314,(MATCH(N38,alles!$C$1:$C$314,0)),0))*(HLOOKUP($E$3,'CO2 equivalenten'!$E$4:$Q$150,(MATCH(M38,'CO2 equivalenten'!$C$4:$C$150,0)),0))</f>
        <v>0</v>
      </c>
      <c r="G38" s="81">
        <f>(HLOOKUP(CONCATENATE($G$3,-1),alles!$D$1:$AA$314,(MATCH(N38,alles!$C$1:$C$314,0)),0))*(HLOOKUP($G$3,'CO2 equivalenten'!$E$4:$Q$150,(MATCH(M38,'CO2 equivalenten'!$C$4:$C$150,0)),0))</f>
        <v>0</v>
      </c>
      <c r="H38" s="81">
        <f>(HLOOKUP(CONCATENATE($G$3,-2),alles!$D$1:$AA$314,(MATCH(N38,alles!$C$1:$C$314,0)),0))*(HLOOKUP($G$3,'CO2 equivalenten'!$E$4:$Q$150,(MATCH(M38,'CO2 equivalenten'!$C$4:$C$150,0)),0))</f>
        <v>0</v>
      </c>
      <c r="I38" s="81">
        <f>(HLOOKUP(CONCATENATE($I$3,-1),alles!$D$1:$AA$314,(MATCH(N38,alles!$C$1:$C$314,0)),0))*(HLOOKUP($I$3,'CO2 equivalenten'!$E$4:$Q$150,(MATCH(M38,'CO2 equivalenten'!$C$4:$C$150,0)),0))</f>
        <v>0</v>
      </c>
      <c r="J38" s="81">
        <f>(HLOOKUP(CONCATENATE($I$3,-2),alles!$D$1:$AA$314,(MATCH(N38,alles!$C$1:$C$314,0)),0))*(HLOOKUP($I$3,'CO2 equivalenten'!$E$4:$Q$150,(MATCH(M38,'CO2 equivalenten'!$C$4:$C$150,0)),0))</f>
        <v>0</v>
      </c>
      <c r="K38" s="90" t="s">
        <v>135</v>
      </c>
      <c r="M38" s="39" t="s">
        <v>325</v>
      </c>
      <c r="N38" s="39" t="s">
        <v>325</v>
      </c>
    </row>
    <row r="39" spans="1:14" x14ac:dyDescent="0.15">
      <c r="A39" s="74" t="s">
        <v>140</v>
      </c>
      <c r="B39" s="85" t="s">
        <v>26</v>
      </c>
      <c r="C39" s="78">
        <f>(HLOOKUP(CONCATENATE($C$3,-1),alles!$D$1:$AA$314,(MATCH(N39,alles!$C$1:$C$314,0)),0))*(HLOOKUP($C$3,'CO2 equivalenten'!$E$4:$Q$150,(MATCH(M39,'CO2 equivalenten'!$C$4:$C$150,0)),0))</f>
        <v>0</v>
      </c>
      <c r="D39" s="78">
        <f>(HLOOKUP(CONCATENATE($C$3,-2),alles!$D$1:$AA$314,(MATCH(N39,alles!$C$1:$C$314,0)),0))*(HLOOKUP($C$3,'CO2 equivalenten'!$E$4:$Q$150,(MATCH(M39,'CO2 equivalenten'!$C$4:$C$150,0)),0))</f>
        <v>0</v>
      </c>
      <c r="E39" s="78">
        <f>(HLOOKUP(CONCATENATE($E$3,-1),alles!$D$1:$AA$314,(MATCH(N39,alles!$C$1:$C$314,0)),0))*(HLOOKUP($E$3,'CO2 equivalenten'!$E$4:$Q$150,(MATCH(M39,'CO2 equivalenten'!$C$4:$C$150,0)),0))</f>
        <v>0</v>
      </c>
      <c r="F39" s="78">
        <f>(HLOOKUP(CONCATENATE($E$3,-2),alles!$D$1:$AA$314,(MATCH(N39,alles!$C$1:$C$314,0)),0))*(HLOOKUP($E$3,'CO2 equivalenten'!$E$4:$Q$150,(MATCH(M39,'CO2 equivalenten'!$C$4:$C$150,0)),0))</f>
        <v>0</v>
      </c>
      <c r="G39" s="78">
        <f>(HLOOKUP(CONCATENATE($G$3,-1),alles!$D$1:$AA$314,(MATCH(N39,alles!$C$1:$C$314,0)),0))*(HLOOKUP($G$3,'CO2 equivalenten'!$E$4:$Q$150,(MATCH(M39,'CO2 equivalenten'!$C$4:$C$150,0)),0))</f>
        <v>0</v>
      </c>
      <c r="H39" s="78">
        <f>(HLOOKUP(CONCATENATE($G$3,-2),alles!$D$1:$AA$314,(MATCH(N39,alles!$C$1:$C$314,0)),0))*(HLOOKUP($G$3,'CO2 equivalenten'!$E$4:$Q$150,(MATCH(M39,'CO2 equivalenten'!$C$4:$C$150,0)),0))</f>
        <v>0</v>
      </c>
      <c r="I39" s="78">
        <f>(HLOOKUP(CONCATENATE($I$3,-1),alles!$D$1:$AA$314,(MATCH(N39,alles!$C$1:$C$314,0)),0))*(HLOOKUP($I$3,'CO2 equivalenten'!$E$4:$Q$150,(MATCH(M39,'CO2 equivalenten'!$C$4:$C$150,0)),0))</f>
        <v>0</v>
      </c>
      <c r="J39" s="78">
        <f>(HLOOKUP(CONCATENATE($I$3,-2),alles!$D$1:$AA$314,(MATCH(N39,alles!$C$1:$C$314,0)),0))*(HLOOKUP($I$3,'CO2 equivalenten'!$E$4:$Q$150,(MATCH(M39,'CO2 equivalenten'!$C$4:$C$150,0)),0))</f>
        <v>0</v>
      </c>
      <c r="K39" s="85" t="s">
        <v>135</v>
      </c>
      <c r="M39" s="39" t="s">
        <v>326</v>
      </c>
      <c r="N39" s="39" t="s">
        <v>326</v>
      </c>
    </row>
    <row r="40" spans="1:14" x14ac:dyDescent="0.15">
      <c r="A40" s="74" t="s">
        <v>139</v>
      </c>
      <c r="B40" s="85" t="s">
        <v>30</v>
      </c>
      <c r="C40" s="78">
        <f>(HLOOKUP(CONCATENATE($C$3,-1),alles!$D$1:$AA$314,(MATCH(N40,alles!$C$1:$C$314,0)),0))*(HLOOKUP($C$3,'CO2 equivalenten'!$E$4:$Q$150,(MATCH(M40,'CO2 equivalenten'!$C$4:$C$150,0)),0))</f>
        <v>0</v>
      </c>
      <c r="D40" s="78">
        <f>(HLOOKUP(CONCATENATE($C$3,-2),alles!$D$1:$AA$314,(MATCH(N40,alles!$C$1:$C$314,0)),0))*(HLOOKUP($C$3,'CO2 equivalenten'!$E$4:$Q$150,(MATCH(M40,'CO2 equivalenten'!$C$4:$C$150,0)),0))</f>
        <v>0</v>
      </c>
      <c r="E40" s="78">
        <f>(HLOOKUP(CONCATENATE($E$3,-1),alles!$D$1:$AA$314,(MATCH(N40,alles!$C$1:$C$314,0)),0))*(HLOOKUP($E$3,'CO2 equivalenten'!$E$4:$Q$150,(MATCH(M40,'CO2 equivalenten'!$C$4:$C$150,0)),0))</f>
        <v>0</v>
      </c>
      <c r="F40" s="78">
        <f>(HLOOKUP(CONCATENATE($E$3,-2),alles!$D$1:$AA$314,(MATCH(N40,alles!$C$1:$C$314,0)),0))*(HLOOKUP($E$3,'CO2 equivalenten'!$E$4:$Q$150,(MATCH(M40,'CO2 equivalenten'!$C$4:$C$150,0)),0))</f>
        <v>0</v>
      </c>
      <c r="G40" s="78">
        <f>(HLOOKUP(CONCATENATE($G$3,-1),alles!$D$1:$AA$314,(MATCH(N40,alles!$C$1:$C$314,0)),0))*(HLOOKUP($G$3,'CO2 equivalenten'!$E$4:$Q$150,(MATCH(M40,'CO2 equivalenten'!$C$4:$C$150,0)),0))</f>
        <v>0</v>
      </c>
      <c r="H40" s="78">
        <f>(HLOOKUP(CONCATENATE($G$3,-2),alles!$D$1:$AA$314,(MATCH(N40,alles!$C$1:$C$314,0)),0))*(HLOOKUP($G$3,'CO2 equivalenten'!$E$4:$Q$150,(MATCH(M40,'CO2 equivalenten'!$C$4:$C$150,0)),0))</f>
        <v>0</v>
      </c>
      <c r="I40" s="78">
        <f>(HLOOKUP(CONCATENATE($I$3,-1),alles!$D$1:$AA$314,(MATCH(N40,alles!$C$1:$C$314,0)),0))*(HLOOKUP($I$3,'CO2 equivalenten'!$E$4:$Q$150,(MATCH(M40,'CO2 equivalenten'!$C$4:$C$150,0)),0))</f>
        <v>0</v>
      </c>
      <c r="J40" s="78">
        <f>(HLOOKUP(CONCATENATE($I$3,-2),alles!$D$1:$AA$314,(MATCH(N40,alles!$C$1:$C$314,0)),0))*(HLOOKUP($I$3,'CO2 equivalenten'!$E$4:$Q$150,(MATCH(M40,'CO2 equivalenten'!$C$4:$C$150,0)),0))</f>
        <v>0</v>
      </c>
      <c r="K40" s="85" t="s">
        <v>135</v>
      </c>
      <c r="M40" s="39" t="s">
        <v>327</v>
      </c>
      <c r="N40" s="39" t="s">
        <v>327</v>
      </c>
    </row>
    <row r="41" spans="1:14" x14ac:dyDescent="0.15">
      <c r="A41" s="74"/>
      <c r="B41" s="85" t="s">
        <v>28</v>
      </c>
      <c r="C41" s="78">
        <f>(HLOOKUP(CONCATENATE($C$3,-1),alles!$D$1:$AA$314,(MATCH(N41,alles!$C$1:$C$314,0)),0))*(HLOOKUP($C$3,'CO2 equivalenten'!$E$4:$Q$150,(MATCH(M41,'CO2 equivalenten'!$C$4:$C$150,0)),0))</f>
        <v>0</v>
      </c>
      <c r="D41" s="78">
        <f>(HLOOKUP(CONCATENATE($C$3,-2),alles!$D$1:$AA$314,(MATCH(N41,alles!$C$1:$C$314,0)),0))*(HLOOKUP($C$3,'CO2 equivalenten'!$E$4:$Q$150,(MATCH(M41,'CO2 equivalenten'!$C$4:$C$150,0)),0))</f>
        <v>0</v>
      </c>
      <c r="E41" s="78">
        <f>(HLOOKUP(CONCATENATE($E$3,-1),alles!$D$1:$AA$314,(MATCH(N41,alles!$C$1:$C$314,0)),0))*(HLOOKUP($E$3,'CO2 equivalenten'!$E$4:$Q$150,(MATCH(M41,'CO2 equivalenten'!$C$4:$C$150,0)),0))</f>
        <v>0</v>
      </c>
      <c r="F41" s="78">
        <f>(HLOOKUP(CONCATENATE($E$3,-2),alles!$D$1:$AA$314,(MATCH(N41,alles!$C$1:$C$314,0)),0))*(HLOOKUP($E$3,'CO2 equivalenten'!$E$4:$Q$150,(MATCH(M41,'CO2 equivalenten'!$C$4:$C$150,0)),0))</f>
        <v>0</v>
      </c>
      <c r="G41" s="78">
        <f>(HLOOKUP(CONCATENATE($G$3,-1),alles!$D$1:$AA$314,(MATCH(N41,alles!$C$1:$C$314,0)),0))*(HLOOKUP($G$3,'CO2 equivalenten'!$E$4:$Q$150,(MATCH(M41,'CO2 equivalenten'!$C$4:$C$150,0)),0))</f>
        <v>0</v>
      </c>
      <c r="H41" s="78">
        <f>(HLOOKUP(CONCATENATE($G$3,-2),alles!$D$1:$AA$314,(MATCH(N41,alles!$C$1:$C$314,0)),0))*(HLOOKUP($G$3,'CO2 equivalenten'!$E$4:$Q$150,(MATCH(M41,'CO2 equivalenten'!$C$4:$C$150,0)),0))</f>
        <v>0</v>
      </c>
      <c r="I41" s="78">
        <f>(HLOOKUP(CONCATENATE($I$3,-1),alles!$D$1:$AA$314,(MATCH(N41,alles!$C$1:$C$314,0)),0))*(HLOOKUP($I$3,'CO2 equivalenten'!$E$4:$Q$150,(MATCH(M41,'CO2 equivalenten'!$C$4:$C$150,0)),0))</f>
        <v>0</v>
      </c>
      <c r="J41" s="78">
        <f>(HLOOKUP(CONCATENATE($I$3,-2),alles!$D$1:$AA$314,(MATCH(N41,alles!$C$1:$C$314,0)),0))*(HLOOKUP($I$3,'CO2 equivalenten'!$E$4:$Q$150,(MATCH(M41,'CO2 equivalenten'!$C$4:$C$150,0)),0))</f>
        <v>0</v>
      </c>
      <c r="K41" s="85" t="s">
        <v>135</v>
      </c>
      <c r="M41" s="39" t="s">
        <v>328</v>
      </c>
      <c r="N41" s="39" t="s">
        <v>328</v>
      </c>
    </row>
    <row r="42" spans="1:14" x14ac:dyDescent="0.15">
      <c r="A42" s="74"/>
      <c r="B42" s="85" t="s">
        <v>141</v>
      </c>
      <c r="C42" s="78">
        <f>(HLOOKUP(CONCATENATE($C$3,-1),alles!$D$1:$AA$314,(MATCH(N42,alles!$C$1:$C$314,0)),0))*(HLOOKUP($C$3,'CO2 equivalenten'!$E$4:$Q$150,(MATCH(M42,'CO2 equivalenten'!$C$4:$C$150,0)),0))</f>
        <v>0</v>
      </c>
      <c r="D42" s="78">
        <f>(HLOOKUP(CONCATENATE($C$3,-2),alles!$D$1:$AA$314,(MATCH(N42,alles!$C$1:$C$314,0)),0))*(HLOOKUP($C$3,'CO2 equivalenten'!$E$4:$Q$150,(MATCH(M42,'CO2 equivalenten'!$C$4:$C$150,0)),0))</f>
        <v>0</v>
      </c>
      <c r="E42" s="78">
        <f>(HLOOKUP(CONCATENATE($E$3,-1),alles!$D$1:$AA$314,(MATCH(N42,alles!$C$1:$C$314,0)),0))*(HLOOKUP($E$3,'CO2 equivalenten'!$E$4:$Q$150,(MATCH(M42,'CO2 equivalenten'!$C$4:$C$150,0)),0))</f>
        <v>0</v>
      </c>
      <c r="F42" s="78">
        <f>(HLOOKUP(CONCATENATE($E$3,-2),alles!$D$1:$AA$314,(MATCH(N42,alles!$C$1:$C$314,0)),0))*(HLOOKUP($E$3,'CO2 equivalenten'!$E$4:$Q$150,(MATCH(M42,'CO2 equivalenten'!$C$4:$C$150,0)),0))</f>
        <v>0</v>
      </c>
      <c r="G42" s="78">
        <f>(HLOOKUP(CONCATENATE($G$3,-1),alles!$D$1:$AA$314,(MATCH(N42,alles!$C$1:$C$314,0)),0))*(HLOOKUP($G$3,'CO2 equivalenten'!$E$4:$Q$150,(MATCH(M42,'CO2 equivalenten'!$C$4:$C$150,0)),0))</f>
        <v>0</v>
      </c>
      <c r="H42" s="78">
        <f>(HLOOKUP(CONCATENATE($G$3,-2),alles!$D$1:$AA$314,(MATCH(N42,alles!$C$1:$C$314,0)),0))*(HLOOKUP($G$3,'CO2 equivalenten'!$E$4:$Q$150,(MATCH(M42,'CO2 equivalenten'!$C$4:$C$150,0)),0))</f>
        <v>0</v>
      </c>
      <c r="I42" s="78">
        <f>(HLOOKUP(CONCATENATE($I$3,-1),alles!$D$1:$AA$314,(MATCH(N42,alles!$C$1:$C$314,0)),0))*(HLOOKUP($I$3,'CO2 equivalenten'!$E$4:$Q$150,(MATCH(M42,'CO2 equivalenten'!$C$4:$C$150,0)),0))</f>
        <v>0</v>
      </c>
      <c r="J42" s="78">
        <f>(HLOOKUP(CONCATENATE($I$3,-2),alles!$D$1:$AA$314,(MATCH(N42,alles!$C$1:$C$314,0)),0))*(HLOOKUP($I$3,'CO2 equivalenten'!$E$4:$Q$150,(MATCH(M42,'CO2 equivalenten'!$C$4:$C$150,0)),0))</f>
        <v>0</v>
      </c>
      <c r="K42" s="85" t="s">
        <v>135</v>
      </c>
      <c r="M42" s="39" t="s">
        <v>329</v>
      </c>
      <c r="N42" s="39" t="s">
        <v>329</v>
      </c>
    </row>
    <row r="43" spans="1:14" x14ac:dyDescent="0.15">
      <c r="A43" s="76"/>
      <c r="B43" s="85" t="s">
        <v>12</v>
      </c>
      <c r="C43" s="78">
        <f>(HLOOKUP(CONCATENATE($C$3,-1),alles!$D$1:$AA$314,(MATCH(N43,alles!$C$1:$C$314,0)),0))*(HLOOKUP($C$3,'CO2 equivalenten'!$E$4:$Q$150,(MATCH(M43,'CO2 equivalenten'!$C$4:$C$150,0)),0))</f>
        <v>0</v>
      </c>
      <c r="D43" s="78">
        <f>(HLOOKUP(CONCATENATE($C$3,-2),alles!$D$1:$AA$314,(MATCH(N43,alles!$C$1:$C$314,0)),0))*(HLOOKUP($C$3,'CO2 equivalenten'!$E$4:$Q$150,(MATCH(M43,'CO2 equivalenten'!$C$4:$C$150,0)),0))</f>
        <v>0</v>
      </c>
      <c r="E43" s="78">
        <f>(HLOOKUP(CONCATENATE($E$3,-1),alles!$D$1:$AA$314,(MATCH(N43,alles!$C$1:$C$314,0)),0))*(HLOOKUP($E$3,'CO2 equivalenten'!$E$4:$Q$150,(MATCH(M43,'CO2 equivalenten'!$C$4:$C$150,0)),0))</f>
        <v>0</v>
      </c>
      <c r="F43" s="78">
        <f>(HLOOKUP(CONCATENATE($E$3,-2),alles!$D$1:$AA$314,(MATCH(N43,alles!$C$1:$C$314,0)),0))*(HLOOKUP($E$3,'CO2 equivalenten'!$E$4:$Q$150,(MATCH(M43,'CO2 equivalenten'!$C$4:$C$150,0)),0))</f>
        <v>0</v>
      </c>
      <c r="G43" s="78">
        <f>(HLOOKUP(CONCATENATE($G$3,-1),alles!$D$1:$AA$314,(MATCH(N43,alles!$C$1:$C$314,0)),0))*(HLOOKUP($G$3,'CO2 equivalenten'!$E$4:$Q$150,(MATCH(M43,'CO2 equivalenten'!$C$4:$C$150,0)),0))</f>
        <v>0</v>
      </c>
      <c r="H43" s="78">
        <f>(HLOOKUP(CONCATENATE($G$3,-2),alles!$D$1:$AA$314,(MATCH(N43,alles!$C$1:$C$314,0)),0))*(HLOOKUP($G$3,'CO2 equivalenten'!$E$4:$Q$150,(MATCH(M43,'CO2 equivalenten'!$C$4:$C$150,0)),0))</f>
        <v>0</v>
      </c>
      <c r="I43" s="78">
        <f>(HLOOKUP(CONCATENATE($I$3,-1),alles!$D$1:$AA$314,(MATCH(N43,alles!$C$1:$C$314,0)),0))*(HLOOKUP($I$3,'CO2 equivalenten'!$E$4:$Q$150,(MATCH(M43,'CO2 equivalenten'!$C$4:$C$150,0)),0))</f>
        <v>0</v>
      </c>
      <c r="J43" s="78">
        <f>(HLOOKUP(CONCATENATE($I$3,-2),alles!$D$1:$AA$314,(MATCH(N43,alles!$C$1:$C$314,0)),0))*(HLOOKUP($I$3,'CO2 equivalenten'!$E$4:$Q$150,(MATCH(M43,'CO2 equivalenten'!$C$4:$C$150,0)),0))</f>
        <v>0</v>
      </c>
      <c r="K43" s="85" t="s">
        <v>135</v>
      </c>
      <c r="M43" s="39" t="s">
        <v>330</v>
      </c>
      <c r="N43" s="39" t="s">
        <v>330</v>
      </c>
    </row>
    <row r="44" spans="1:14" ht="12" x14ac:dyDescent="0.15">
      <c r="A44" s="538" t="s">
        <v>251</v>
      </c>
      <c r="B44" s="93" t="s">
        <v>53</v>
      </c>
      <c r="C44" s="79">
        <f>(HLOOKUP(CONCATENATE($C$3,-1),alles!$D$1:$AA$314,(MATCH(N44,alles!$C$1:$C$314,0)),0))*(HLOOKUP($C$3,'CO2 equivalenten'!$E$4:$Q$150,(MATCH(M44,'CO2 equivalenten'!$C$4:$C$150,0)),0))</f>
        <v>0</v>
      </c>
      <c r="D44" s="79">
        <f>(HLOOKUP(CONCATENATE($C$3,-2),alles!$D$1:$AA$314,(MATCH(N44,alles!$C$1:$C$314,0)),0))*(HLOOKUP($C$3,'CO2 equivalenten'!$E$4:$Q$150,(MATCH(M44,'CO2 equivalenten'!$C$4:$C$150,0)),0))</f>
        <v>0</v>
      </c>
      <c r="E44" s="79">
        <f>(HLOOKUP(CONCATENATE($E$3,-1),alles!$D$1:$AA$314,(MATCH(N44,alles!$C$1:$C$314,0)),0))*(HLOOKUP($E$3,'CO2 equivalenten'!$E$4:$Q$150,(MATCH(M44,'CO2 equivalenten'!$C$4:$C$150,0)),0))</f>
        <v>0</v>
      </c>
      <c r="F44" s="79">
        <f>(HLOOKUP(CONCATENATE($E$3,-2),alles!$D$1:$AA$314,(MATCH(N44,alles!$C$1:$C$314,0)),0))*(HLOOKUP($E$3,'CO2 equivalenten'!$E$4:$Q$150,(MATCH(M44,'CO2 equivalenten'!$C$4:$C$150,0)),0))</f>
        <v>0</v>
      </c>
      <c r="G44" s="79">
        <f>(HLOOKUP(CONCATENATE($G$3,-1),alles!$D$1:$AA$314,(MATCH(N44,alles!$C$1:$C$314,0)),0))*(HLOOKUP($G$3,'CO2 equivalenten'!$E$4:$Q$150,(MATCH(M44,'CO2 equivalenten'!$C$4:$C$150,0)),0))</f>
        <v>0.31949352000000003</v>
      </c>
      <c r="H44" s="79">
        <f>(HLOOKUP(CONCATENATE($G$3,-2),alles!$D$1:$AA$314,(MATCH(N44,alles!$C$1:$C$314,0)),0))*(HLOOKUP($G$3,'CO2 equivalenten'!$E$4:$Q$150,(MATCH(M44,'CO2 equivalenten'!$C$4:$C$150,0)),0))</f>
        <v>0.84035687999999997</v>
      </c>
      <c r="I44" s="79">
        <f>(HLOOKUP(CONCATENATE($I$3,-1),alles!$D$1:$AA$314,(MATCH(N44,alles!$C$1:$C$314,0)),0))*(HLOOKUP($I$3,'CO2 equivalenten'!$E$4:$Q$150,(MATCH(M44,'CO2 equivalenten'!$C$4:$C$150,0)),0))</f>
        <v>0.82719189000000004</v>
      </c>
      <c r="J44" s="79">
        <f>(HLOOKUP(CONCATENATE($I$3,-2),alles!$D$1:$AA$314,(MATCH(N44,alles!$C$1:$C$314,0)),0))*(HLOOKUP($I$3,'CO2 equivalenten'!$E$4:$Q$150,(MATCH(M44,'CO2 equivalenten'!$C$4:$C$150,0)),0))</f>
        <v>2.9271659900000002</v>
      </c>
      <c r="K44" s="93" t="s">
        <v>135</v>
      </c>
      <c r="M44" s="39" t="s">
        <v>419</v>
      </c>
      <c r="N44" s="39" t="s">
        <v>418</v>
      </c>
    </row>
    <row r="45" spans="1:14" x14ac:dyDescent="0.15">
      <c r="A45" s="554"/>
      <c r="B45" s="68"/>
      <c r="C45" s="75"/>
      <c r="D45" s="75"/>
      <c r="E45" s="75"/>
      <c r="F45" s="75"/>
      <c r="G45" s="75"/>
      <c r="H45" s="75"/>
      <c r="I45" s="75"/>
      <c r="J45" s="75"/>
      <c r="K45" s="68"/>
    </row>
    <row r="46" spans="1:14" ht="12" x14ac:dyDescent="0.15">
      <c r="A46" s="106" t="s">
        <v>59</v>
      </c>
      <c r="B46" s="107" t="s">
        <v>17</v>
      </c>
      <c r="C46" s="72" t="s">
        <v>18</v>
      </c>
      <c r="D46" s="108" t="s">
        <v>19</v>
      </c>
      <c r="E46" s="109" t="s">
        <v>18</v>
      </c>
      <c r="F46" s="108" t="s">
        <v>19</v>
      </c>
      <c r="G46" s="109" t="s">
        <v>18</v>
      </c>
      <c r="H46" s="108" t="s">
        <v>19</v>
      </c>
      <c r="I46" s="109" t="s">
        <v>18</v>
      </c>
      <c r="J46" s="108" t="s">
        <v>19</v>
      </c>
      <c r="K46" s="73" t="s">
        <v>20</v>
      </c>
    </row>
    <row r="47" spans="1:14" ht="36" x14ac:dyDescent="0.15">
      <c r="A47" s="111" t="s">
        <v>457</v>
      </c>
      <c r="B47" s="97" t="s">
        <v>31</v>
      </c>
      <c r="C47" s="695">
        <f>SUM(C48:C51)</f>
        <v>0</v>
      </c>
      <c r="D47" s="696">
        <f t="shared" ref="D47:J47" si="5">SUM(D48:D51)</f>
        <v>0</v>
      </c>
      <c r="E47" s="696">
        <f t="shared" si="5"/>
        <v>0</v>
      </c>
      <c r="F47" s="696">
        <f t="shared" si="5"/>
        <v>0</v>
      </c>
      <c r="G47" s="696">
        <f t="shared" si="5"/>
        <v>0</v>
      </c>
      <c r="H47" s="696">
        <f t="shared" si="5"/>
        <v>0</v>
      </c>
      <c r="I47" s="696">
        <f t="shared" si="5"/>
        <v>0</v>
      </c>
      <c r="J47" s="695">
        <f t="shared" si="5"/>
        <v>0</v>
      </c>
      <c r="K47" s="446" t="s">
        <v>136</v>
      </c>
    </row>
    <row r="48" spans="1:14" hidden="1" x14ac:dyDescent="0.15">
      <c r="A48" s="106"/>
      <c r="B48" s="107"/>
      <c r="C48" s="695"/>
      <c r="D48" s="696"/>
      <c r="E48" s="696"/>
      <c r="F48" s="696"/>
      <c r="G48" s="696"/>
      <c r="H48" s="696"/>
      <c r="I48" s="696"/>
      <c r="J48" s="695"/>
      <c r="K48" s="446" t="s">
        <v>136</v>
      </c>
    </row>
    <row r="49" spans="1:11" hidden="1" x14ac:dyDescent="0.15">
      <c r="A49" s="106"/>
      <c r="B49" s="107"/>
      <c r="C49" s="695"/>
      <c r="D49" s="696"/>
      <c r="E49" s="696"/>
      <c r="F49" s="696"/>
      <c r="G49" s="696"/>
      <c r="H49" s="696"/>
      <c r="I49" s="696"/>
      <c r="J49" s="695"/>
      <c r="K49" s="446" t="s">
        <v>136</v>
      </c>
    </row>
    <row r="50" spans="1:11" hidden="1" x14ac:dyDescent="0.15">
      <c r="A50" s="106"/>
      <c r="B50" s="107"/>
      <c r="C50" s="695"/>
      <c r="D50" s="696"/>
      <c r="E50" s="696"/>
      <c r="F50" s="696"/>
      <c r="G50" s="696"/>
      <c r="H50" s="696"/>
      <c r="I50" s="696"/>
      <c r="J50" s="695"/>
      <c r="K50" s="446" t="s">
        <v>136</v>
      </c>
    </row>
    <row r="51" spans="1:11" hidden="1" x14ac:dyDescent="0.15">
      <c r="A51" s="106"/>
      <c r="B51" s="107"/>
      <c r="C51" s="695"/>
      <c r="D51" s="696"/>
      <c r="E51" s="696"/>
      <c r="F51" s="696"/>
      <c r="G51" s="696"/>
      <c r="H51" s="696"/>
      <c r="I51" s="696"/>
      <c r="J51" s="695"/>
      <c r="K51" s="446" t="s">
        <v>136</v>
      </c>
    </row>
    <row r="52" spans="1:11" ht="12" x14ac:dyDescent="0.15">
      <c r="A52" s="111" t="s">
        <v>443</v>
      </c>
      <c r="B52" s="97" t="s">
        <v>31</v>
      </c>
      <c r="C52" s="695">
        <f>SUM(C53:C56)</f>
        <v>0</v>
      </c>
      <c r="D52" s="696">
        <f t="shared" ref="D52" si="6">SUM(D53:D56)</f>
        <v>0</v>
      </c>
      <c r="E52" s="696">
        <f t="shared" ref="E52" si="7">SUM(E53:E56)</f>
        <v>0</v>
      </c>
      <c r="F52" s="696">
        <f t="shared" ref="F52" si="8">SUM(F53:F56)</f>
        <v>0</v>
      </c>
      <c r="G52" s="696">
        <f t="shared" ref="G52" si="9">SUM(G53:G56)</f>
        <v>0</v>
      </c>
      <c r="H52" s="696">
        <f t="shared" ref="H52" si="10">SUM(H53:H56)</f>
        <v>0</v>
      </c>
      <c r="I52" s="696">
        <f t="shared" ref="I52" si="11">SUM(I53:I56)</f>
        <v>0</v>
      </c>
      <c r="J52" s="695">
        <f t="shared" ref="J52" si="12">SUM(J53:J56)</f>
        <v>0</v>
      </c>
      <c r="K52" s="99" t="s">
        <v>136</v>
      </c>
    </row>
    <row r="53" spans="1:11" hidden="1" x14ac:dyDescent="0.15">
      <c r="A53" s="106"/>
      <c r="B53" s="107"/>
      <c r="C53" s="695"/>
      <c r="D53" s="696"/>
      <c r="E53" s="696"/>
      <c r="F53" s="696"/>
      <c r="G53" s="696"/>
      <c r="H53" s="696"/>
      <c r="I53" s="696"/>
      <c r="J53" s="695"/>
      <c r="K53" s="446" t="s">
        <v>136</v>
      </c>
    </row>
    <row r="54" spans="1:11" hidden="1" x14ac:dyDescent="0.15">
      <c r="A54" s="106"/>
      <c r="B54" s="107"/>
      <c r="C54" s="695"/>
      <c r="D54" s="696"/>
      <c r="E54" s="696"/>
      <c r="F54" s="696"/>
      <c r="G54" s="696"/>
      <c r="H54" s="696"/>
      <c r="I54" s="696"/>
      <c r="J54" s="695"/>
      <c r="K54" s="446" t="s">
        <v>136</v>
      </c>
    </row>
    <row r="55" spans="1:11" hidden="1" x14ac:dyDescent="0.15">
      <c r="A55" s="106"/>
      <c r="B55" s="107"/>
      <c r="C55" s="695"/>
      <c r="D55" s="696"/>
      <c r="E55" s="696"/>
      <c r="F55" s="696"/>
      <c r="G55" s="696"/>
      <c r="H55" s="696"/>
      <c r="I55" s="696"/>
      <c r="J55" s="695"/>
      <c r="K55" s="446" t="s">
        <v>136</v>
      </c>
    </row>
    <row r="56" spans="1:11" hidden="1" x14ac:dyDescent="0.15">
      <c r="A56" s="106"/>
      <c r="B56" s="107"/>
      <c r="C56" s="695"/>
      <c r="D56" s="696"/>
      <c r="E56" s="696"/>
      <c r="F56" s="696"/>
      <c r="G56" s="696"/>
      <c r="H56" s="696"/>
      <c r="I56" s="696"/>
      <c r="J56" s="695"/>
      <c r="K56" s="446" t="s">
        <v>136</v>
      </c>
    </row>
    <row r="57" spans="1:11" ht="36" x14ac:dyDescent="0.15">
      <c r="A57" s="111" t="s">
        <v>458</v>
      </c>
      <c r="B57" s="97" t="s">
        <v>31</v>
      </c>
      <c r="C57" s="695">
        <f>SUM(C58:C61)</f>
        <v>0</v>
      </c>
      <c r="D57" s="696">
        <f t="shared" ref="D57" si="13">SUM(D58:D61)</f>
        <v>0</v>
      </c>
      <c r="E57" s="696">
        <f t="shared" ref="E57" si="14">SUM(E58:E61)</f>
        <v>0</v>
      </c>
      <c r="F57" s="696">
        <f t="shared" ref="F57" si="15">SUM(F58:F61)</f>
        <v>0</v>
      </c>
      <c r="G57" s="696">
        <f t="shared" ref="G57" si="16">SUM(G58:G61)</f>
        <v>0</v>
      </c>
      <c r="H57" s="696">
        <f t="shared" ref="H57" si="17">SUM(H58:H61)</f>
        <v>0</v>
      </c>
      <c r="I57" s="696">
        <f t="shared" ref="I57" si="18">SUM(I58:I61)</f>
        <v>0</v>
      </c>
      <c r="J57" s="695">
        <f t="shared" ref="J57" si="19">SUM(J58:J61)</f>
        <v>0</v>
      </c>
      <c r="K57" s="99" t="s">
        <v>136</v>
      </c>
    </row>
    <row r="58" spans="1:11" hidden="1" x14ac:dyDescent="0.15">
      <c r="A58" s="106"/>
      <c r="B58" s="107"/>
      <c r="C58" s="695"/>
      <c r="D58" s="696"/>
      <c r="E58" s="696"/>
      <c r="F58" s="696"/>
      <c r="G58" s="696"/>
      <c r="H58" s="696"/>
      <c r="I58" s="696"/>
      <c r="J58" s="695"/>
      <c r="K58" s="446" t="s">
        <v>136</v>
      </c>
    </row>
    <row r="59" spans="1:11" hidden="1" x14ac:dyDescent="0.15">
      <c r="A59" s="106"/>
      <c r="B59" s="107"/>
      <c r="C59" s="695"/>
      <c r="D59" s="696"/>
      <c r="E59" s="696"/>
      <c r="F59" s="696"/>
      <c r="G59" s="696"/>
      <c r="H59" s="696"/>
      <c r="I59" s="696"/>
      <c r="J59" s="695"/>
      <c r="K59" s="446" t="s">
        <v>136</v>
      </c>
    </row>
    <row r="60" spans="1:11" hidden="1" x14ac:dyDescent="0.15">
      <c r="A60" s="106"/>
      <c r="B60" s="107"/>
      <c r="C60" s="695"/>
      <c r="D60" s="696"/>
      <c r="E60" s="696"/>
      <c r="F60" s="696"/>
      <c r="G60" s="696"/>
      <c r="H60" s="696"/>
      <c r="I60" s="696"/>
      <c r="J60" s="695"/>
      <c r="K60" s="446" t="s">
        <v>136</v>
      </c>
    </row>
    <row r="61" spans="1:11" hidden="1" x14ac:dyDescent="0.15">
      <c r="A61" s="106"/>
      <c r="B61" s="107"/>
      <c r="C61" s="695"/>
      <c r="D61" s="696"/>
      <c r="E61" s="696"/>
      <c r="F61" s="696"/>
      <c r="G61" s="696"/>
      <c r="H61" s="696"/>
      <c r="I61" s="696"/>
      <c r="J61" s="695"/>
      <c r="K61" s="446" t="s">
        <v>136</v>
      </c>
    </row>
    <row r="62" spans="1:11" ht="24" x14ac:dyDescent="0.15">
      <c r="A62" s="111" t="s">
        <v>446</v>
      </c>
      <c r="B62" s="97" t="s">
        <v>31</v>
      </c>
      <c r="C62" s="695">
        <f>SUM(C63:C66)</f>
        <v>0</v>
      </c>
      <c r="D62" s="696">
        <f t="shared" ref="D62" si="20">SUM(D63:D66)</f>
        <v>0</v>
      </c>
      <c r="E62" s="696">
        <f t="shared" ref="E62" si="21">SUM(E63:E66)</f>
        <v>0</v>
      </c>
      <c r="F62" s="696">
        <f t="shared" ref="F62" si="22">SUM(F63:F66)</f>
        <v>0</v>
      </c>
      <c r="G62" s="696">
        <f t="shared" ref="G62" si="23">SUM(G63:G66)</f>
        <v>0</v>
      </c>
      <c r="H62" s="696">
        <f t="shared" ref="H62" si="24">SUM(H63:H66)</f>
        <v>0</v>
      </c>
      <c r="I62" s="696">
        <f t="shared" ref="I62" si="25">SUM(I63:I66)</f>
        <v>0</v>
      </c>
      <c r="J62" s="695">
        <f t="shared" ref="J62" si="26">SUM(J63:J66)</f>
        <v>0</v>
      </c>
      <c r="K62" s="446" t="s">
        <v>136</v>
      </c>
    </row>
    <row r="63" spans="1:11" hidden="1" x14ac:dyDescent="0.15">
      <c r="A63" s="106"/>
      <c r="B63" s="107"/>
      <c r="C63" s="72"/>
      <c r="D63" s="73"/>
      <c r="E63" s="73"/>
      <c r="F63" s="73"/>
      <c r="G63" s="73"/>
      <c r="H63" s="73"/>
      <c r="I63" s="73"/>
      <c r="J63" s="72"/>
      <c r="K63" s="73"/>
    </row>
    <row r="64" spans="1:11" hidden="1" x14ac:dyDescent="0.15">
      <c r="A64" s="106"/>
      <c r="B64" s="107"/>
      <c r="C64" s="72"/>
      <c r="D64" s="73"/>
      <c r="E64" s="73"/>
      <c r="F64" s="73"/>
      <c r="G64" s="73"/>
      <c r="H64" s="73"/>
      <c r="I64" s="73"/>
      <c r="J64" s="72"/>
      <c r="K64" s="73"/>
    </row>
    <row r="65" spans="1:14" hidden="1" x14ac:dyDescent="0.15">
      <c r="A65" s="106"/>
      <c r="B65" s="107"/>
      <c r="C65" s="72"/>
      <c r="D65" s="73"/>
      <c r="E65" s="73"/>
      <c r="F65" s="73"/>
      <c r="G65" s="73"/>
      <c r="H65" s="73"/>
      <c r="I65" s="73"/>
      <c r="J65" s="72"/>
      <c r="K65" s="73"/>
    </row>
    <row r="66" spans="1:14" hidden="1" x14ac:dyDescent="0.15">
      <c r="A66" s="106"/>
      <c r="B66" s="107"/>
      <c r="C66" s="72"/>
      <c r="D66" s="73"/>
      <c r="E66" s="73"/>
      <c r="F66" s="73"/>
      <c r="G66" s="73"/>
      <c r="H66" s="73"/>
      <c r="I66" s="73"/>
      <c r="J66" s="72"/>
      <c r="K66" s="73"/>
    </row>
    <row r="67" spans="1:14" x14ac:dyDescent="0.15">
      <c r="A67" s="96" t="s">
        <v>445</v>
      </c>
      <c r="B67" s="99" t="s">
        <v>31</v>
      </c>
      <c r="C67" s="200">
        <f>SUM(C68:C102)</f>
        <v>1189.9558999999999</v>
      </c>
      <c r="D67" s="129">
        <f t="shared" ref="D67:J67" si="27">SUM(D68:D102)</f>
        <v>2601.3282380000001</v>
      </c>
      <c r="E67" s="129">
        <f t="shared" si="27"/>
        <v>1761.809387</v>
      </c>
      <c r="F67" s="129">
        <f t="shared" si="27"/>
        <v>0</v>
      </c>
      <c r="G67" s="129">
        <f t="shared" si="27"/>
        <v>1855.8264829999998</v>
      </c>
      <c r="H67" s="129">
        <f t="shared" si="27"/>
        <v>2022.6253540000002</v>
      </c>
      <c r="I67" s="129">
        <f t="shared" si="27"/>
        <v>1814.7314699999999</v>
      </c>
      <c r="J67" s="200">
        <f t="shared" si="27"/>
        <v>1971.3170789999999</v>
      </c>
      <c r="K67" s="99" t="s">
        <v>136</v>
      </c>
    </row>
    <row r="68" spans="1:14" hidden="1" x14ac:dyDescent="0.15">
      <c r="A68" s="735" t="s">
        <v>143</v>
      </c>
      <c r="B68" s="736"/>
      <c r="C68" s="78">
        <f>(HLOOKUP(CONCATENATE($C$3,-1),alles!$D$1:$AA$314,(MATCH(N68,alles!$C$1:$C$314,0)),0))*(HLOOKUP($C$3,'CO2 equivalenten'!$E$4:$Q$150,(MATCH(M68,'CO2 equivalenten'!$C$4:$C$150,0)),0))</f>
        <v>0</v>
      </c>
      <c r="D68" s="78">
        <f>(HLOOKUP(CONCATENATE($C$3,-2),alles!$D$1:$AA$314,(MATCH(N68,alles!$C$1:$C$314,0)),0))*(HLOOKUP($C$3,'CO2 equivalenten'!$E$4:$Q$150,(MATCH(M68,'CO2 equivalenten'!$C$4:$C$150,0)),0))</f>
        <v>0</v>
      </c>
      <c r="E68" s="78">
        <f>(HLOOKUP(CONCATENATE($E$3,-1),alles!$D$1:$AA$314,(MATCH(N68,alles!$C$1:$C$314,0)),0))*(HLOOKUP($E$3,'CO2 equivalenten'!$E$4:$Q$150,(MATCH(M68,'CO2 equivalenten'!$C$4:$C$150,0)),0))</f>
        <v>0</v>
      </c>
      <c r="F68" s="78">
        <f>(HLOOKUP(CONCATENATE($E$3,-2),alles!$D$1:$AA$314,(MATCH(N68,alles!$C$1:$C$314,0)),0))*(HLOOKUP($E$3,'CO2 equivalenten'!$E$4:$Q$150,(MATCH(M68,'CO2 equivalenten'!$C$4:$C$150,0)),0))</f>
        <v>0</v>
      </c>
      <c r="G68" s="78">
        <f>(HLOOKUP(CONCATENATE($G$3,-1),alles!$D$1:$AA$314,(MATCH(N68,alles!$C$1:$C$314,0)),0))*(HLOOKUP($G$3,'CO2 equivalenten'!$E$4:$Q$150,(MATCH(M68,'CO2 equivalenten'!$C$4:$C$150,0)),0))</f>
        <v>0</v>
      </c>
      <c r="H68" s="78">
        <f>(HLOOKUP(CONCATENATE($G$3,-2),alles!$D$1:$AA$314,(MATCH(N68,alles!$C$1:$C$314,0)),0))*(HLOOKUP($G$3,'CO2 equivalenten'!$E$4:$Q$150,(MATCH(M68,'CO2 equivalenten'!$C$4:$C$150,0)),0))</f>
        <v>0</v>
      </c>
      <c r="I68" s="78">
        <f>(HLOOKUP(CONCATENATE($I$3,-1),alles!$D$1:$AA$314,(MATCH(N68,alles!$C$1:$C$314,0)),0))*(HLOOKUP($I$3,'CO2 equivalenten'!$E$4:$Q$150,(MATCH(M68,'CO2 equivalenten'!$C$4:$C$150,0)),0))</f>
        <v>0</v>
      </c>
      <c r="J68" s="78">
        <f>(HLOOKUP(CONCATENATE($I$3,-2),alles!$D$1:$AA$314,(MATCH(N68,alles!$C$1:$C$314,0)),0))*(HLOOKUP($I$3,'CO2 equivalenten'!$E$4:$Q$150,(MATCH(M68,'CO2 equivalenten'!$C$4:$C$150,0)),0))</f>
        <v>0</v>
      </c>
      <c r="K68" s="82" t="s">
        <v>135</v>
      </c>
      <c r="M68" s="39" t="s">
        <v>355</v>
      </c>
      <c r="N68" s="39" t="s">
        <v>355</v>
      </c>
    </row>
    <row r="69" spans="1:14" hidden="1" x14ac:dyDescent="0.15">
      <c r="A69" s="737" t="s">
        <v>144</v>
      </c>
      <c r="B69" s="738"/>
      <c r="C69" s="78">
        <f>(HLOOKUP(CONCATENATE($C$3,-1),alles!$D$1:$AA$314,(MATCH(N69,alles!$C$1:$C$314,0)),0))*(HLOOKUP($C$3,'CO2 equivalenten'!$E$4:$Q$150,(MATCH(M69,'CO2 equivalenten'!$C$4:$C$150,0)),0))</f>
        <v>0</v>
      </c>
      <c r="D69" s="78">
        <f>(HLOOKUP(CONCATENATE($C$3,-2),alles!$D$1:$AA$314,(MATCH(N69,alles!$C$1:$C$314,0)),0))*(HLOOKUP($C$3,'CO2 equivalenten'!$E$4:$Q$150,(MATCH(M69,'CO2 equivalenten'!$C$4:$C$150,0)),0))</f>
        <v>0</v>
      </c>
      <c r="E69" s="78">
        <f>(HLOOKUP(CONCATENATE($E$3,-1),alles!$D$1:$AA$314,(MATCH(N69,alles!$C$1:$C$314,0)),0))*(HLOOKUP($E$3,'CO2 equivalenten'!$E$4:$Q$150,(MATCH(M69,'CO2 equivalenten'!$C$4:$C$150,0)),0))</f>
        <v>0</v>
      </c>
      <c r="F69" s="78">
        <f>(HLOOKUP(CONCATENATE($E$3,-2),alles!$D$1:$AA$314,(MATCH(N69,alles!$C$1:$C$314,0)),0))*(HLOOKUP($E$3,'CO2 equivalenten'!$E$4:$Q$150,(MATCH(M69,'CO2 equivalenten'!$C$4:$C$150,0)),0))</f>
        <v>0</v>
      </c>
      <c r="G69" s="78">
        <f>(HLOOKUP(CONCATENATE($G$3,-1),alles!$D$1:$AA$314,(MATCH(N69,alles!$C$1:$C$314,0)),0))*(HLOOKUP($G$3,'CO2 equivalenten'!$E$4:$Q$150,(MATCH(M69,'CO2 equivalenten'!$C$4:$C$150,0)),0))</f>
        <v>0</v>
      </c>
      <c r="H69" s="78">
        <f>(HLOOKUP(CONCATENATE($G$3,-2),alles!$D$1:$AA$314,(MATCH(N69,alles!$C$1:$C$314,0)),0))*(HLOOKUP($G$3,'CO2 equivalenten'!$E$4:$Q$150,(MATCH(M69,'CO2 equivalenten'!$C$4:$C$150,0)),0))</f>
        <v>0</v>
      </c>
      <c r="I69" s="78">
        <f>(HLOOKUP(CONCATENATE($I$3,-1),alles!$D$1:$AA$314,(MATCH(N69,alles!$C$1:$C$314,0)),0))*(HLOOKUP($I$3,'CO2 equivalenten'!$E$4:$Q$150,(MATCH(M69,'CO2 equivalenten'!$C$4:$C$150,0)),0))</f>
        <v>0</v>
      </c>
      <c r="J69" s="78">
        <f>(HLOOKUP(CONCATENATE($I$3,-2),alles!$D$1:$AA$314,(MATCH(N69,alles!$C$1:$C$314,0)),0))*(HLOOKUP($I$3,'CO2 equivalenten'!$E$4:$Q$150,(MATCH(M69,'CO2 equivalenten'!$C$4:$C$150,0)),0))</f>
        <v>0</v>
      </c>
      <c r="K69" s="85" t="s">
        <v>135</v>
      </c>
      <c r="M69" s="39" t="s">
        <v>356</v>
      </c>
      <c r="N69" s="39" t="s">
        <v>356</v>
      </c>
    </row>
    <row r="70" spans="1:14" x14ac:dyDescent="0.15">
      <c r="A70" s="737" t="s">
        <v>145</v>
      </c>
      <c r="B70" s="738"/>
      <c r="C70" s="78">
        <f>(HLOOKUP(CONCATENATE($C$3,-1),alles!$D$1:$AA$314,(MATCH(N70,alles!$C$1:$C$314,0)),0))*(HLOOKUP($C$3,'CO2 equivalenten'!$E$4:$Q$150,(MATCH(M70,'CO2 equivalenten'!$C$4:$C$150,0)),0))</f>
        <v>54.664999999999999</v>
      </c>
      <c r="D70" s="78">
        <f>(HLOOKUP(CONCATENATE($C$3,-2),alles!$D$1:$AA$314,(MATCH(N70,alles!$C$1:$C$314,0)),0))*(HLOOKUP($C$3,'CO2 equivalenten'!$E$4:$Q$150,(MATCH(M70,'CO2 equivalenten'!$C$4:$C$150,0)),0))</f>
        <v>70.116199999999992</v>
      </c>
      <c r="E70" s="78">
        <f>(HLOOKUP(CONCATENATE($E$3,-1),alles!$D$1:$AA$314,(MATCH(N70,alles!$C$1:$C$314,0)),0))*(HLOOKUP($E$3,'CO2 equivalenten'!$E$4:$Q$150,(MATCH(M70,'CO2 equivalenten'!$C$4:$C$150,0)),0))</f>
        <v>8.3577999999999992</v>
      </c>
      <c r="F70" s="78">
        <f>(HLOOKUP(CONCATENATE($E$3,-2),alles!$D$1:$AA$314,(MATCH(N70,alles!$C$1:$C$314,0)),0))*(HLOOKUP($E$3,'CO2 equivalenten'!$E$4:$Q$150,(MATCH(M70,'CO2 equivalenten'!$C$4:$C$150,0)),0))</f>
        <v>0</v>
      </c>
      <c r="G70" s="78">
        <f>(HLOOKUP(CONCATENATE($G$3,-1),alles!$D$1:$AA$314,(MATCH(N70,alles!$C$1:$C$314,0)),0))*(HLOOKUP($G$3,'CO2 equivalenten'!$E$4:$Q$150,(MATCH(M70,'CO2 equivalenten'!$C$4:$C$150,0)),0))</f>
        <v>11.550699999999999</v>
      </c>
      <c r="H70" s="78">
        <f>(HLOOKUP(CONCATENATE($G$3,-2),alles!$D$1:$AA$314,(MATCH(N70,alles!$C$1:$C$314,0)),0))*(HLOOKUP($G$3,'CO2 equivalenten'!$E$4:$Q$150,(MATCH(M70,'CO2 equivalenten'!$C$4:$C$150,0)),0))</f>
        <v>13.183399999999999</v>
      </c>
      <c r="I70" s="78">
        <f>(HLOOKUP(CONCATENATE($I$3,-1),alles!$D$1:$AA$314,(MATCH(N70,alles!$C$1:$C$314,0)),0))*(HLOOKUP($I$3,'CO2 equivalenten'!$E$4:$Q$150,(MATCH(M70,'CO2 equivalenten'!$C$4:$C$150,0)),0))</f>
        <v>11.304199999999998</v>
      </c>
      <c r="J70" s="78">
        <f>(HLOOKUP(CONCATENATE($I$3,-2),alles!$D$1:$AA$314,(MATCH(N70,alles!$C$1:$C$314,0)),0))*(HLOOKUP($I$3,'CO2 equivalenten'!$E$4:$Q$150,(MATCH(M70,'CO2 equivalenten'!$C$4:$C$150,0)),0))</f>
        <v>17.433350000000001</v>
      </c>
      <c r="K70" s="85" t="s">
        <v>135</v>
      </c>
      <c r="M70" s="39" t="s">
        <v>357</v>
      </c>
      <c r="N70" s="39" t="s">
        <v>357</v>
      </c>
    </row>
    <row r="71" spans="1:14" hidden="1" x14ac:dyDescent="0.15">
      <c r="A71" s="737" t="s">
        <v>188</v>
      </c>
      <c r="B71" s="738"/>
      <c r="C71" s="78">
        <f>(HLOOKUP(CONCATENATE($C$3,-1),alles!$D$1:$AA$314,(MATCH(N71,alles!$C$1:$C$314,0)),0))*(HLOOKUP($C$3,'CO2 equivalenten'!$E$4:$Q$150,(MATCH(M71,'CO2 equivalenten'!$C$4:$C$150,0)),0))</f>
        <v>0</v>
      </c>
      <c r="D71" s="78">
        <f>(HLOOKUP(CONCATENATE($C$3,-2),alles!$D$1:$AA$314,(MATCH(N71,alles!$C$1:$C$314,0)),0))*(HLOOKUP($C$3,'CO2 equivalenten'!$E$4:$Q$150,(MATCH(M71,'CO2 equivalenten'!$C$4:$C$150,0)),0))</f>
        <v>0</v>
      </c>
      <c r="E71" s="78">
        <f>(HLOOKUP(CONCATENATE($E$3,-1),alles!$D$1:$AA$314,(MATCH(N71,alles!$C$1:$C$314,0)),0))*(HLOOKUP($E$3,'CO2 equivalenten'!$E$4:$Q$150,(MATCH(M71,'CO2 equivalenten'!$C$4:$C$150,0)),0))</f>
        <v>0</v>
      </c>
      <c r="F71" s="78">
        <f>(HLOOKUP(CONCATENATE($E$3,-2),alles!$D$1:$AA$314,(MATCH(N71,alles!$C$1:$C$314,0)),0))*(HLOOKUP($E$3,'CO2 equivalenten'!$E$4:$Q$150,(MATCH(M71,'CO2 equivalenten'!$C$4:$C$150,0)),0))</f>
        <v>0</v>
      </c>
      <c r="G71" s="78">
        <f>(HLOOKUP(CONCATENATE($G$3,-1),alles!$D$1:$AA$314,(MATCH(N71,alles!$C$1:$C$314,0)),0))*(HLOOKUP($G$3,'CO2 equivalenten'!$E$4:$Q$150,(MATCH(M71,'CO2 equivalenten'!$C$4:$C$150,0)),0))</f>
        <v>0</v>
      </c>
      <c r="H71" s="78">
        <f>(HLOOKUP(CONCATENATE($G$3,-2),alles!$D$1:$AA$314,(MATCH(N71,alles!$C$1:$C$314,0)),0))*(HLOOKUP($G$3,'CO2 equivalenten'!$E$4:$Q$150,(MATCH(M71,'CO2 equivalenten'!$C$4:$C$150,0)),0))</f>
        <v>0</v>
      </c>
      <c r="I71" s="78">
        <f>(HLOOKUP(CONCATENATE($I$3,-1),alles!$D$1:$AA$314,(MATCH(N71,alles!$C$1:$C$314,0)),0))*(HLOOKUP($I$3,'CO2 equivalenten'!$E$4:$Q$150,(MATCH(M71,'CO2 equivalenten'!$C$4:$C$150,0)),0))</f>
        <v>0</v>
      </c>
      <c r="J71" s="78">
        <f>(HLOOKUP(CONCATENATE($I$3,-2),alles!$D$1:$AA$314,(MATCH(N71,alles!$C$1:$C$314,0)),0))*(HLOOKUP($I$3,'CO2 equivalenten'!$E$4:$Q$150,(MATCH(M71,'CO2 equivalenten'!$C$4:$C$150,0)),0))</f>
        <v>0</v>
      </c>
      <c r="K71" s="85" t="s">
        <v>135</v>
      </c>
      <c r="M71" s="39" t="s">
        <v>358</v>
      </c>
      <c r="N71" s="39" t="s">
        <v>358</v>
      </c>
    </row>
    <row r="72" spans="1:14" hidden="1" x14ac:dyDescent="0.15">
      <c r="A72" s="737" t="s">
        <v>146</v>
      </c>
      <c r="B72" s="738"/>
      <c r="C72" s="78">
        <f>(HLOOKUP(CONCATENATE($C$3,-1),alles!$D$1:$AA$314,(MATCH(N72,alles!$C$1:$C$314,0)),0))*(HLOOKUP($C$3,'CO2 equivalenten'!$E$4:$Q$150,(MATCH(M72,'CO2 equivalenten'!$C$4:$C$150,0)),0))</f>
        <v>0</v>
      </c>
      <c r="D72" s="78">
        <f>(HLOOKUP(CONCATENATE($C$3,-2),alles!$D$1:$AA$314,(MATCH(N72,alles!$C$1:$C$314,0)),0))*(HLOOKUP($C$3,'CO2 equivalenten'!$E$4:$Q$150,(MATCH(M72,'CO2 equivalenten'!$C$4:$C$150,0)),0))</f>
        <v>0</v>
      </c>
      <c r="E72" s="78">
        <f>(HLOOKUP(CONCATENATE($E$3,-1),alles!$D$1:$AA$314,(MATCH(N72,alles!$C$1:$C$314,0)),0))*(HLOOKUP($E$3,'CO2 equivalenten'!$E$4:$Q$150,(MATCH(M72,'CO2 equivalenten'!$C$4:$C$150,0)),0))</f>
        <v>0</v>
      </c>
      <c r="F72" s="78">
        <f>(HLOOKUP(CONCATENATE($E$3,-2),alles!$D$1:$AA$314,(MATCH(N72,alles!$C$1:$C$314,0)),0))*(HLOOKUP($E$3,'CO2 equivalenten'!$E$4:$Q$150,(MATCH(M72,'CO2 equivalenten'!$C$4:$C$150,0)),0))</f>
        <v>0</v>
      </c>
      <c r="G72" s="78">
        <f>(HLOOKUP(CONCATENATE($G$3,-1),alles!$D$1:$AA$314,(MATCH(N72,alles!$C$1:$C$314,0)),0))*(HLOOKUP($G$3,'CO2 equivalenten'!$E$4:$Q$150,(MATCH(M72,'CO2 equivalenten'!$C$4:$C$150,0)),0))</f>
        <v>0</v>
      </c>
      <c r="H72" s="78">
        <f>(HLOOKUP(CONCATENATE($G$3,-2),alles!$D$1:$AA$314,(MATCH(N72,alles!$C$1:$C$314,0)),0))*(HLOOKUP($G$3,'CO2 equivalenten'!$E$4:$Q$150,(MATCH(M72,'CO2 equivalenten'!$C$4:$C$150,0)),0))</f>
        <v>0</v>
      </c>
      <c r="I72" s="78">
        <f>(HLOOKUP(CONCATENATE($I$3,-1),alles!$D$1:$AA$314,(MATCH(N72,alles!$C$1:$C$314,0)),0))*(HLOOKUP($I$3,'CO2 equivalenten'!$E$4:$Q$150,(MATCH(M72,'CO2 equivalenten'!$C$4:$C$150,0)),0))</f>
        <v>0</v>
      </c>
      <c r="J72" s="78">
        <f>(HLOOKUP(CONCATENATE($I$3,-2),alles!$D$1:$AA$314,(MATCH(N72,alles!$C$1:$C$314,0)),0))*(HLOOKUP($I$3,'CO2 equivalenten'!$E$4:$Q$150,(MATCH(M72,'CO2 equivalenten'!$C$4:$C$150,0)),0))</f>
        <v>0</v>
      </c>
      <c r="K72" s="85" t="s">
        <v>135</v>
      </c>
      <c r="M72" s="39" t="s">
        <v>359</v>
      </c>
      <c r="N72" s="39" t="s">
        <v>359</v>
      </c>
    </row>
    <row r="73" spans="1:14" hidden="1" x14ac:dyDescent="0.15">
      <c r="A73" s="737" t="s">
        <v>147</v>
      </c>
      <c r="B73" s="738"/>
      <c r="C73" s="78">
        <f>(HLOOKUP(CONCATENATE($C$3,-1),alles!$D$1:$AA$314,(MATCH(N73,alles!$C$1:$C$314,0)),0))*(HLOOKUP($C$3,'CO2 equivalenten'!$E$4:$Q$150,(MATCH(M73,'CO2 equivalenten'!$C$4:$C$150,0)),0))</f>
        <v>0</v>
      </c>
      <c r="D73" s="78">
        <f>(HLOOKUP(CONCATENATE($C$3,-2),alles!$D$1:$AA$314,(MATCH(N73,alles!$C$1:$C$314,0)),0))*(HLOOKUP($C$3,'CO2 equivalenten'!$E$4:$Q$150,(MATCH(M73,'CO2 equivalenten'!$C$4:$C$150,0)),0))</f>
        <v>0</v>
      </c>
      <c r="E73" s="78">
        <f>(HLOOKUP(CONCATENATE($E$3,-1),alles!$D$1:$AA$314,(MATCH(N73,alles!$C$1:$C$314,0)),0))*(HLOOKUP($E$3,'CO2 equivalenten'!$E$4:$Q$150,(MATCH(M73,'CO2 equivalenten'!$C$4:$C$150,0)),0))</f>
        <v>0</v>
      </c>
      <c r="F73" s="78">
        <f>(HLOOKUP(CONCATENATE($E$3,-2),alles!$D$1:$AA$314,(MATCH(N73,alles!$C$1:$C$314,0)),0))*(HLOOKUP($E$3,'CO2 equivalenten'!$E$4:$Q$150,(MATCH(M73,'CO2 equivalenten'!$C$4:$C$150,0)),0))</f>
        <v>0</v>
      </c>
      <c r="G73" s="78">
        <f>(HLOOKUP(CONCATENATE($G$3,-1),alles!$D$1:$AA$314,(MATCH(N73,alles!$C$1:$C$314,0)),0))*(HLOOKUP($G$3,'CO2 equivalenten'!$E$4:$Q$150,(MATCH(M73,'CO2 equivalenten'!$C$4:$C$150,0)),0))</f>
        <v>0</v>
      </c>
      <c r="H73" s="78">
        <f>(HLOOKUP(CONCATENATE($G$3,-2),alles!$D$1:$AA$314,(MATCH(N73,alles!$C$1:$C$314,0)),0))*(HLOOKUP($G$3,'CO2 equivalenten'!$E$4:$Q$150,(MATCH(M73,'CO2 equivalenten'!$C$4:$C$150,0)),0))</f>
        <v>0</v>
      </c>
      <c r="I73" s="78">
        <f>(HLOOKUP(CONCATENATE($I$3,-1),alles!$D$1:$AA$314,(MATCH(N73,alles!$C$1:$C$314,0)),0))*(HLOOKUP($I$3,'CO2 equivalenten'!$E$4:$Q$150,(MATCH(M73,'CO2 equivalenten'!$C$4:$C$150,0)),0))</f>
        <v>0</v>
      </c>
      <c r="J73" s="78">
        <f>(HLOOKUP(CONCATENATE($I$3,-2),alles!$D$1:$AA$314,(MATCH(N73,alles!$C$1:$C$314,0)),0))*(HLOOKUP($I$3,'CO2 equivalenten'!$E$4:$Q$150,(MATCH(M73,'CO2 equivalenten'!$C$4:$C$150,0)),0))</f>
        <v>0</v>
      </c>
      <c r="K73" s="85" t="s">
        <v>135</v>
      </c>
      <c r="M73" s="39" t="s">
        <v>360</v>
      </c>
      <c r="N73" s="39" t="s">
        <v>360</v>
      </c>
    </row>
    <row r="74" spans="1:14" hidden="1" x14ac:dyDescent="0.15">
      <c r="A74" s="737" t="s">
        <v>148</v>
      </c>
      <c r="B74" s="738"/>
      <c r="C74" s="78">
        <f>(HLOOKUP(CONCATENATE($C$3,-1),alles!$D$1:$AA$314,(MATCH(N74,alles!$C$1:$C$314,0)),0))*(HLOOKUP($C$3,'CO2 equivalenten'!$E$4:$Q$150,(MATCH(M74,'CO2 equivalenten'!$C$4:$C$150,0)),0))</f>
        <v>0</v>
      </c>
      <c r="D74" s="78">
        <f>(HLOOKUP(CONCATENATE($C$3,-2),alles!$D$1:$AA$314,(MATCH(N74,alles!$C$1:$C$314,0)),0))*(HLOOKUP($C$3,'CO2 equivalenten'!$E$4:$Q$150,(MATCH(M74,'CO2 equivalenten'!$C$4:$C$150,0)),0))</f>
        <v>0</v>
      </c>
      <c r="E74" s="78">
        <f>(HLOOKUP(CONCATENATE($E$3,-1),alles!$D$1:$AA$314,(MATCH(N74,alles!$C$1:$C$314,0)),0))*(HLOOKUP($E$3,'CO2 equivalenten'!$E$4:$Q$150,(MATCH(M74,'CO2 equivalenten'!$C$4:$C$150,0)),0))</f>
        <v>0</v>
      </c>
      <c r="F74" s="78">
        <f>(HLOOKUP(CONCATENATE($E$3,-2),alles!$D$1:$AA$314,(MATCH(N74,alles!$C$1:$C$314,0)),0))*(HLOOKUP($E$3,'CO2 equivalenten'!$E$4:$Q$150,(MATCH(M74,'CO2 equivalenten'!$C$4:$C$150,0)),0))</f>
        <v>0</v>
      </c>
      <c r="G74" s="78">
        <f>(HLOOKUP(CONCATENATE($G$3,-1),alles!$D$1:$AA$314,(MATCH(N74,alles!$C$1:$C$314,0)),0))*(HLOOKUP($G$3,'CO2 equivalenten'!$E$4:$Q$150,(MATCH(M74,'CO2 equivalenten'!$C$4:$C$150,0)),0))</f>
        <v>0</v>
      </c>
      <c r="H74" s="78">
        <f>(HLOOKUP(CONCATENATE($G$3,-2),alles!$D$1:$AA$314,(MATCH(N74,alles!$C$1:$C$314,0)),0))*(HLOOKUP($G$3,'CO2 equivalenten'!$E$4:$Q$150,(MATCH(M74,'CO2 equivalenten'!$C$4:$C$150,0)),0))</f>
        <v>0</v>
      </c>
      <c r="I74" s="78">
        <f>(HLOOKUP(CONCATENATE($I$3,-1),alles!$D$1:$AA$314,(MATCH(N74,alles!$C$1:$C$314,0)),0))*(HLOOKUP($I$3,'CO2 equivalenten'!$E$4:$Q$150,(MATCH(M74,'CO2 equivalenten'!$C$4:$C$150,0)),0))</f>
        <v>0</v>
      </c>
      <c r="J74" s="78">
        <f>(HLOOKUP(CONCATENATE($I$3,-2),alles!$D$1:$AA$314,(MATCH(N74,alles!$C$1:$C$314,0)),0))*(HLOOKUP($I$3,'CO2 equivalenten'!$E$4:$Q$150,(MATCH(M74,'CO2 equivalenten'!$C$4:$C$150,0)),0))</f>
        <v>0</v>
      </c>
      <c r="K74" s="85" t="s">
        <v>135</v>
      </c>
      <c r="M74" s="39" t="s">
        <v>361</v>
      </c>
      <c r="N74" s="39" t="s">
        <v>361</v>
      </c>
    </row>
    <row r="75" spans="1:14" hidden="1" x14ac:dyDescent="0.15">
      <c r="A75" s="737" t="s">
        <v>149</v>
      </c>
      <c r="B75" s="738"/>
      <c r="C75" s="78">
        <f>(HLOOKUP(CONCATENATE($C$3,-1),alles!$D$1:$AA$314,(MATCH(N75,alles!$C$1:$C$314,0)),0))*(HLOOKUP($C$3,'CO2 equivalenten'!$E$4:$Q$150,(MATCH(M75,'CO2 equivalenten'!$C$4:$C$150,0)),0))</f>
        <v>0</v>
      </c>
      <c r="D75" s="78">
        <f>(HLOOKUP(CONCATENATE($C$3,-2),alles!$D$1:$AA$314,(MATCH(N75,alles!$C$1:$C$314,0)),0))*(HLOOKUP($C$3,'CO2 equivalenten'!$E$4:$Q$150,(MATCH(M75,'CO2 equivalenten'!$C$4:$C$150,0)),0))</f>
        <v>0</v>
      </c>
      <c r="E75" s="78">
        <f>(HLOOKUP(CONCATENATE($E$3,-1),alles!$D$1:$AA$314,(MATCH(N75,alles!$C$1:$C$314,0)),0))*(HLOOKUP($E$3,'CO2 equivalenten'!$E$4:$Q$150,(MATCH(M75,'CO2 equivalenten'!$C$4:$C$150,0)),0))</f>
        <v>0</v>
      </c>
      <c r="F75" s="78">
        <f>(HLOOKUP(CONCATENATE($E$3,-2),alles!$D$1:$AA$314,(MATCH(N75,alles!$C$1:$C$314,0)),0))*(HLOOKUP($E$3,'CO2 equivalenten'!$E$4:$Q$150,(MATCH(M75,'CO2 equivalenten'!$C$4:$C$150,0)),0))</f>
        <v>0</v>
      </c>
      <c r="G75" s="78">
        <f>(HLOOKUP(CONCATENATE($G$3,-1),alles!$D$1:$AA$314,(MATCH(N75,alles!$C$1:$C$314,0)),0))*(HLOOKUP($G$3,'CO2 equivalenten'!$E$4:$Q$150,(MATCH(M75,'CO2 equivalenten'!$C$4:$C$150,0)),0))</f>
        <v>0</v>
      </c>
      <c r="H75" s="78">
        <f>(HLOOKUP(CONCATENATE($G$3,-2),alles!$D$1:$AA$314,(MATCH(N75,alles!$C$1:$C$314,0)),0))*(HLOOKUP($G$3,'CO2 equivalenten'!$E$4:$Q$150,(MATCH(M75,'CO2 equivalenten'!$C$4:$C$150,0)),0))</f>
        <v>0</v>
      </c>
      <c r="I75" s="78">
        <f>(HLOOKUP(CONCATENATE($I$3,-1),alles!$D$1:$AA$314,(MATCH(N75,alles!$C$1:$C$314,0)),0))*(HLOOKUP($I$3,'CO2 equivalenten'!$E$4:$Q$150,(MATCH(M75,'CO2 equivalenten'!$C$4:$C$150,0)),0))</f>
        <v>0</v>
      </c>
      <c r="J75" s="78">
        <f>(HLOOKUP(CONCATENATE($I$3,-2),alles!$D$1:$AA$314,(MATCH(N75,alles!$C$1:$C$314,0)),0))*(HLOOKUP($I$3,'CO2 equivalenten'!$E$4:$Q$150,(MATCH(M75,'CO2 equivalenten'!$C$4:$C$150,0)),0))</f>
        <v>0</v>
      </c>
      <c r="K75" s="85" t="s">
        <v>135</v>
      </c>
      <c r="M75" s="39" t="s">
        <v>362</v>
      </c>
      <c r="N75" s="39" t="s">
        <v>362</v>
      </c>
    </row>
    <row r="76" spans="1:14" x14ac:dyDescent="0.15">
      <c r="A76" s="737" t="s">
        <v>150</v>
      </c>
      <c r="B76" s="738"/>
      <c r="C76" s="78">
        <f>(HLOOKUP(CONCATENATE($C$3,-1),alles!$D$1:$AA$314,(MATCH(N76,alles!$C$1:$C$314,0)),0))*(HLOOKUP($C$3,'CO2 equivalenten'!$E$4:$Q$150,(MATCH(M76,'CO2 equivalenten'!$C$4:$C$150,0)),0))</f>
        <v>66.497</v>
      </c>
      <c r="D76" s="78">
        <f>(HLOOKUP(CONCATENATE($C$3,-2),alles!$D$1:$AA$314,(MATCH(N76,alles!$C$1:$C$314,0)),0))*(HLOOKUP($C$3,'CO2 equivalenten'!$E$4:$Q$150,(MATCH(M76,'CO2 equivalenten'!$C$4:$C$150,0)),0))</f>
        <v>85.485620000000011</v>
      </c>
      <c r="E76" s="78">
        <f>(HLOOKUP(CONCATENATE($E$3,-1),alles!$D$1:$AA$314,(MATCH(N76,alles!$C$1:$C$314,0)),0))*(HLOOKUP($E$3,'CO2 equivalenten'!$E$4:$Q$150,(MATCH(M76,'CO2 equivalenten'!$C$4:$C$150,0)),0))</f>
        <v>91.053620000000009</v>
      </c>
      <c r="F76" s="78">
        <f>(HLOOKUP(CONCATENATE($E$3,-2),alles!$D$1:$AA$314,(MATCH(N76,alles!$C$1:$C$314,0)),0))*(HLOOKUP($E$3,'CO2 equivalenten'!$E$4:$Q$150,(MATCH(M76,'CO2 equivalenten'!$C$4:$C$150,0)),0))</f>
        <v>0</v>
      </c>
      <c r="G76" s="78">
        <f>(HLOOKUP(CONCATENATE($G$3,-1),alles!$D$1:$AA$314,(MATCH(N76,alles!$C$1:$C$314,0)),0))*(HLOOKUP($G$3,'CO2 equivalenten'!$E$4:$Q$150,(MATCH(M76,'CO2 equivalenten'!$C$4:$C$150,0)),0))</f>
        <v>111.25473000000001</v>
      </c>
      <c r="H76" s="78">
        <f>(HLOOKUP(CONCATENATE($G$3,-2),alles!$D$1:$AA$314,(MATCH(N76,alles!$C$1:$C$314,0)),0))*(HLOOKUP($G$3,'CO2 equivalenten'!$E$4:$Q$150,(MATCH(M76,'CO2 equivalenten'!$C$4:$C$150,0)),0))</f>
        <v>124.82557</v>
      </c>
      <c r="I76" s="78">
        <f>(HLOOKUP(CONCATENATE($I$3,-1),alles!$D$1:$AA$314,(MATCH(N76,alles!$C$1:$C$314,0)),0))*(HLOOKUP($I$3,'CO2 equivalenten'!$E$4:$Q$150,(MATCH(M76,'CO2 equivalenten'!$C$4:$C$150,0)),0))</f>
        <v>148.32021</v>
      </c>
      <c r="J76" s="78">
        <f>(HLOOKUP(CONCATENATE($I$3,-2),alles!$D$1:$AA$314,(MATCH(N76,alles!$C$1:$C$314,0)),0))*(HLOOKUP($I$3,'CO2 equivalenten'!$E$4:$Q$150,(MATCH(M76,'CO2 equivalenten'!$C$4:$C$150,0)),0))</f>
        <v>181.85726</v>
      </c>
      <c r="K76" s="85" t="s">
        <v>135</v>
      </c>
      <c r="M76" s="39" t="s">
        <v>363</v>
      </c>
      <c r="N76" s="39" t="s">
        <v>363</v>
      </c>
    </row>
    <row r="77" spans="1:14" x14ac:dyDescent="0.15">
      <c r="A77" s="737" t="s">
        <v>151</v>
      </c>
      <c r="B77" s="738"/>
      <c r="C77" s="78">
        <f>(HLOOKUP(CONCATENATE($C$3,-1),alles!$D$1:$AA$314,(MATCH(N77,alles!$C$1:$C$314,0)),0))*(HLOOKUP($C$3,'CO2 equivalenten'!$E$4:$Q$150,(MATCH(M77,'CO2 equivalenten'!$C$4:$C$150,0)),0))</f>
        <v>160.04999999999998</v>
      </c>
      <c r="D77" s="78">
        <f>(HLOOKUP(CONCATENATE($C$3,-2),alles!$D$1:$AA$314,(MATCH(N77,alles!$C$1:$C$314,0)),0))*(HLOOKUP($C$3,'CO2 equivalenten'!$E$4:$Q$150,(MATCH(M77,'CO2 equivalenten'!$C$4:$C$150,0)),0))</f>
        <v>175.15649999999999</v>
      </c>
      <c r="E77" s="78">
        <f>(HLOOKUP(CONCATENATE($E$3,-1),alles!$D$1:$AA$314,(MATCH(N77,alles!$C$1:$C$314,0)),0))*(HLOOKUP($E$3,'CO2 equivalenten'!$E$4:$Q$150,(MATCH(M77,'CO2 equivalenten'!$C$4:$C$150,0)),0))</f>
        <v>217.71224999999998</v>
      </c>
      <c r="F77" s="78">
        <f>(HLOOKUP(CONCATENATE($E$3,-2),alles!$D$1:$AA$314,(MATCH(N77,alles!$C$1:$C$314,0)),0))*(HLOOKUP($E$3,'CO2 equivalenten'!$E$4:$Q$150,(MATCH(M77,'CO2 equivalenten'!$C$4:$C$150,0)),0))</f>
        <v>0</v>
      </c>
      <c r="G77" s="78">
        <f>(HLOOKUP(CONCATENATE($G$3,-1),alles!$D$1:$AA$314,(MATCH(N77,alles!$C$1:$C$314,0)),0))*(HLOOKUP($G$3,'CO2 equivalenten'!$E$4:$Q$150,(MATCH(M77,'CO2 equivalenten'!$C$4:$C$150,0)),0))</f>
        <v>228.82012499999999</v>
      </c>
      <c r="H77" s="78">
        <f>(HLOOKUP(CONCATENATE($G$3,-2),alles!$D$1:$AA$314,(MATCH(N77,alles!$C$1:$C$314,0)),0))*(HLOOKUP($G$3,'CO2 equivalenten'!$E$4:$Q$150,(MATCH(M77,'CO2 equivalenten'!$C$4:$C$150,0)),0))</f>
        <v>240.55500000000001</v>
      </c>
      <c r="I77" s="78">
        <f>(HLOOKUP(CONCATENATE($I$3,-1),alles!$D$1:$AA$314,(MATCH(N77,alles!$C$1:$C$314,0)),0))*(HLOOKUP($I$3,'CO2 equivalenten'!$E$4:$Q$150,(MATCH(M77,'CO2 equivalenten'!$C$4:$C$150,0)),0))</f>
        <v>184.87875</v>
      </c>
      <c r="J77" s="78">
        <f>(HLOOKUP(CONCATENATE($I$3,-2),alles!$D$1:$AA$314,(MATCH(N77,alles!$C$1:$C$314,0)),0))*(HLOOKUP($I$3,'CO2 equivalenten'!$E$4:$Q$150,(MATCH(M77,'CO2 equivalenten'!$C$4:$C$150,0)),0))</f>
        <v>206.64525</v>
      </c>
      <c r="K77" s="85" t="s">
        <v>135</v>
      </c>
      <c r="M77" s="39" t="s">
        <v>364</v>
      </c>
      <c r="N77" s="39" t="s">
        <v>364</v>
      </c>
    </row>
    <row r="78" spans="1:14" hidden="1" x14ac:dyDescent="0.15">
      <c r="A78" s="737" t="s">
        <v>152</v>
      </c>
      <c r="B78" s="738"/>
      <c r="C78" s="78">
        <f>(HLOOKUP(CONCATENATE($C$3,-1),alles!$D$1:$AA$314,(MATCH(N78,alles!$C$1:$C$314,0)),0))*(HLOOKUP($C$3,'CO2 equivalenten'!$E$4:$Q$150,(MATCH(M78,'CO2 equivalenten'!$C$4:$C$150,0)),0))</f>
        <v>0</v>
      </c>
      <c r="D78" s="78">
        <f>(HLOOKUP(CONCATENATE($C$3,-2),alles!$D$1:$AA$314,(MATCH(N78,alles!$C$1:$C$314,0)),0))*(HLOOKUP($C$3,'CO2 equivalenten'!$E$4:$Q$150,(MATCH(M78,'CO2 equivalenten'!$C$4:$C$150,0)),0))</f>
        <v>0</v>
      </c>
      <c r="E78" s="78">
        <f>(HLOOKUP(CONCATENATE($E$3,-1),alles!$D$1:$AA$314,(MATCH(N78,alles!$C$1:$C$314,0)),0))*(HLOOKUP($E$3,'CO2 equivalenten'!$E$4:$Q$150,(MATCH(M78,'CO2 equivalenten'!$C$4:$C$150,0)),0))</f>
        <v>0</v>
      </c>
      <c r="F78" s="78">
        <f>(HLOOKUP(CONCATENATE($E$3,-2),alles!$D$1:$AA$314,(MATCH(N78,alles!$C$1:$C$314,0)),0))*(HLOOKUP($E$3,'CO2 equivalenten'!$E$4:$Q$150,(MATCH(M78,'CO2 equivalenten'!$C$4:$C$150,0)),0))</f>
        <v>0</v>
      </c>
      <c r="G78" s="78">
        <f>(HLOOKUP(CONCATENATE($G$3,-1),alles!$D$1:$AA$314,(MATCH(N78,alles!$C$1:$C$314,0)),0))*(HLOOKUP($G$3,'CO2 equivalenten'!$E$4:$Q$150,(MATCH(M78,'CO2 equivalenten'!$C$4:$C$150,0)),0))</f>
        <v>0</v>
      </c>
      <c r="H78" s="78">
        <f>(HLOOKUP(CONCATENATE($G$3,-2),alles!$D$1:$AA$314,(MATCH(N78,alles!$C$1:$C$314,0)),0))*(HLOOKUP($G$3,'CO2 equivalenten'!$E$4:$Q$150,(MATCH(M78,'CO2 equivalenten'!$C$4:$C$150,0)),0))</f>
        <v>0</v>
      </c>
      <c r="I78" s="78">
        <f>(HLOOKUP(CONCATENATE($I$3,-1),alles!$D$1:$AA$314,(MATCH(N78,alles!$C$1:$C$314,0)),0))*(HLOOKUP($I$3,'CO2 equivalenten'!$E$4:$Q$150,(MATCH(M78,'CO2 equivalenten'!$C$4:$C$150,0)),0))</f>
        <v>0</v>
      </c>
      <c r="J78" s="78">
        <f>(HLOOKUP(CONCATENATE($I$3,-2),alles!$D$1:$AA$314,(MATCH(N78,alles!$C$1:$C$314,0)),0))*(HLOOKUP($I$3,'CO2 equivalenten'!$E$4:$Q$150,(MATCH(M78,'CO2 equivalenten'!$C$4:$C$150,0)),0))</f>
        <v>0</v>
      </c>
      <c r="K78" s="85" t="s">
        <v>135</v>
      </c>
      <c r="M78" s="39" t="s">
        <v>275</v>
      </c>
      <c r="N78" s="39" t="s">
        <v>275</v>
      </c>
    </row>
    <row r="79" spans="1:14" hidden="1" x14ac:dyDescent="0.15">
      <c r="A79" s="737" t="s">
        <v>153</v>
      </c>
      <c r="B79" s="738"/>
      <c r="C79" s="78">
        <f>(HLOOKUP(CONCATENATE($C$3,-1),alles!$D$1:$AA$314,(MATCH(N79,alles!$C$1:$C$314,0)),0))*(HLOOKUP($C$3,'CO2 equivalenten'!$E$4:$Q$150,(MATCH(M79,'CO2 equivalenten'!$C$4:$C$150,0)),0))</f>
        <v>0</v>
      </c>
      <c r="D79" s="78">
        <f>(HLOOKUP(CONCATENATE($C$3,-2),alles!$D$1:$AA$314,(MATCH(N79,alles!$C$1:$C$314,0)),0))*(HLOOKUP($C$3,'CO2 equivalenten'!$E$4:$Q$150,(MATCH(M79,'CO2 equivalenten'!$C$4:$C$150,0)),0))</f>
        <v>0</v>
      </c>
      <c r="E79" s="78">
        <f>(HLOOKUP(CONCATENATE($E$3,-1),alles!$D$1:$AA$314,(MATCH(N79,alles!$C$1:$C$314,0)),0))*(HLOOKUP($E$3,'CO2 equivalenten'!$E$4:$Q$150,(MATCH(M79,'CO2 equivalenten'!$C$4:$C$150,0)),0))</f>
        <v>0</v>
      </c>
      <c r="F79" s="78">
        <f>(HLOOKUP(CONCATENATE($E$3,-2),alles!$D$1:$AA$314,(MATCH(N79,alles!$C$1:$C$314,0)),0))*(HLOOKUP($E$3,'CO2 equivalenten'!$E$4:$Q$150,(MATCH(M79,'CO2 equivalenten'!$C$4:$C$150,0)),0))</f>
        <v>0</v>
      </c>
      <c r="G79" s="78">
        <f>(HLOOKUP(CONCATENATE($G$3,-1),alles!$D$1:$AA$314,(MATCH(N79,alles!$C$1:$C$314,0)),0))*(HLOOKUP($G$3,'CO2 equivalenten'!$E$4:$Q$150,(MATCH(M79,'CO2 equivalenten'!$C$4:$C$150,0)),0))</f>
        <v>0</v>
      </c>
      <c r="H79" s="78">
        <f>(HLOOKUP(CONCATENATE($G$3,-2),alles!$D$1:$AA$314,(MATCH(N79,alles!$C$1:$C$314,0)),0))*(HLOOKUP($G$3,'CO2 equivalenten'!$E$4:$Q$150,(MATCH(M79,'CO2 equivalenten'!$C$4:$C$150,0)),0))</f>
        <v>0</v>
      </c>
      <c r="I79" s="78">
        <f>(HLOOKUP(CONCATENATE($I$3,-1),alles!$D$1:$AA$314,(MATCH(N79,alles!$C$1:$C$314,0)),0))*(HLOOKUP($I$3,'CO2 equivalenten'!$E$4:$Q$150,(MATCH(M79,'CO2 equivalenten'!$C$4:$C$150,0)),0))</f>
        <v>0</v>
      </c>
      <c r="J79" s="78">
        <f>(HLOOKUP(CONCATENATE($I$3,-2),alles!$D$1:$AA$314,(MATCH(N79,alles!$C$1:$C$314,0)),0))*(HLOOKUP($I$3,'CO2 equivalenten'!$E$4:$Q$150,(MATCH(M79,'CO2 equivalenten'!$C$4:$C$150,0)),0))</f>
        <v>0</v>
      </c>
      <c r="K79" s="85" t="s">
        <v>135</v>
      </c>
      <c r="M79" s="39" t="s">
        <v>399</v>
      </c>
      <c r="N79" s="39" t="s">
        <v>399</v>
      </c>
    </row>
    <row r="80" spans="1:14" x14ac:dyDescent="0.15">
      <c r="A80" s="737" t="s">
        <v>154</v>
      </c>
      <c r="B80" s="738"/>
      <c r="C80" s="78">
        <f>(HLOOKUP(CONCATENATE($C$3,-1),alles!$D$1:$AA$314,(MATCH(N80,alles!$C$1:$C$314,0)),0))*(HLOOKUP($C$3,'CO2 equivalenten'!$E$4:$Q$150,(MATCH(M80,'CO2 equivalenten'!$C$4:$C$150,0)),0))</f>
        <v>7.4249999999999998</v>
      </c>
      <c r="D80" s="78">
        <f>(HLOOKUP(CONCATENATE($C$3,-2),alles!$D$1:$AA$314,(MATCH(N80,alles!$C$1:$C$314,0)),0))*(HLOOKUP($C$3,'CO2 equivalenten'!$E$4:$Q$150,(MATCH(M80,'CO2 equivalenten'!$C$4:$C$150,0)),0))</f>
        <v>6.0539999999999994</v>
      </c>
      <c r="E80" s="78">
        <f>(HLOOKUP(CONCATENATE($E$3,-1),alles!$D$1:$AA$314,(MATCH(N80,alles!$C$1:$C$314,0)),0))*(HLOOKUP($E$3,'CO2 equivalenten'!$E$4:$Q$150,(MATCH(M80,'CO2 equivalenten'!$C$4:$C$150,0)),0))</f>
        <v>2.6549999999999998</v>
      </c>
      <c r="F80" s="78">
        <f>(HLOOKUP(CONCATENATE($E$3,-2),alles!$D$1:$AA$314,(MATCH(N80,alles!$C$1:$C$314,0)),0))*(HLOOKUP($E$3,'CO2 equivalenten'!$E$4:$Q$150,(MATCH(M80,'CO2 equivalenten'!$C$4:$C$150,0)),0))</f>
        <v>0</v>
      </c>
      <c r="G80" s="78">
        <f>(HLOOKUP(CONCATENATE($G$3,-1),alles!$D$1:$AA$314,(MATCH(N80,alles!$C$1:$C$314,0)),0))*(HLOOKUP($G$3,'CO2 equivalenten'!$E$4:$Q$150,(MATCH(M80,'CO2 equivalenten'!$C$4:$C$150,0)),0))</f>
        <v>1.2899999999999998</v>
      </c>
      <c r="H80" s="78">
        <f>(HLOOKUP(CONCATENATE($G$3,-2),alles!$D$1:$AA$314,(MATCH(N80,alles!$C$1:$C$314,0)),0))*(HLOOKUP($G$3,'CO2 equivalenten'!$E$4:$Q$150,(MATCH(M80,'CO2 equivalenten'!$C$4:$C$150,0)),0))</f>
        <v>1.212</v>
      </c>
      <c r="I80" s="78">
        <f>(HLOOKUP(CONCATENATE($I$3,-1),alles!$D$1:$AA$314,(MATCH(N80,alles!$C$1:$C$314,0)),0))*(HLOOKUP($I$3,'CO2 equivalenten'!$E$4:$Q$150,(MATCH(M80,'CO2 equivalenten'!$C$4:$C$150,0)),0))</f>
        <v>1.6027500000000001</v>
      </c>
      <c r="J80" s="78">
        <f>(HLOOKUP(CONCATENATE($I$3,-2),alles!$D$1:$AA$314,(MATCH(N80,alles!$C$1:$C$314,0)),0))*(HLOOKUP($I$3,'CO2 equivalenten'!$E$4:$Q$150,(MATCH(M80,'CO2 equivalenten'!$C$4:$C$150,0)),0))</f>
        <v>3.2069999999999999</v>
      </c>
      <c r="K80" s="85" t="s">
        <v>135</v>
      </c>
      <c r="M80" s="39" t="s">
        <v>365</v>
      </c>
      <c r="N80" s="39" t="s">
        <v>365</v>
      </c>
    </row>
    <row r="81" spans="1:14" hidden="1" x14ac:dyDescent="0.15">
      <c r="A81" s="737" t="s">
        <v>155</v>
      </c>
      <c r="B81" s="738"/>
      <c r="C81" s="78">
        <f>(HLOOKUP(CONCATENATE($C$3,-1),alles!$D$1:$AA$314,(MATCH(N81,alles!$C$1:$C$314,0)),0))*(HLOOKUP($C$3,'CO2 equivalenten'!$E$4:$Q$150,(MATCH(M81,'CO2 equivalenten'!$C$4:$C$150,0)),0))</f>
        <v>0</v>
      </c>
      <c r="D81" s="78">
        <f>(HLOOKUP(CONCATENATE($C$3,-2),alles!$D$1:$AA$314,(MATCH(N81,alles!$C$1:$C$314,0)),0))*(HLOOKUP($C$3,'CO2 equivalenten'!$E$4:$Q$150,(MATCH(M81,'CO2 equivalenten'!$C$4:$C$150,0)),0))</f>
        <v>0</v>
      </c>
      <c r="E81" s="78">
        <f>(HLOOKUP(CONCATENATE($E$3,-1),alles!$D$1:$AA$314,(MATCH(N81,alles!$C$1:$C$314,0)),0))*(HLOOKUP($E$3,'CO2 equivalenten'!$E$4:$Q$150,(MATCH(M81,'CO2 equivalenten'!$C$4:$C$150,0)),0))</f>
        <v>0</v>
      </c>
      <c r="F81" s="78">
        <f>(HLOOKUP(CONCATENATE($E$3,-2),alles!$D$1:$AA$314,(MATCH(N81,alles!$C$1:$C$314,0)),0))*(HLOOKUP($E$3,'CO2 equivalenten'!$E$4:$Q$150,(MATCH(M81,'CO2 equivalenten'!$C$4:$C$150,0)),0))</f>
        <v>0</v>
      </c>
      <c r="G81" s="78">
        <f>(HLOOKUP(CONCATENATE($G$3,-1),alles!$D$1:$AA$314,(MATCH(N81,alles!$C$1:$C$314,0)),0))*(HLOOKUP($G$3,'CO2 equivalenten'!$E$4:$Q$150,(MATCH(M81,'CO2 equivalenten'!$C$4:$C$150,0)),0))</f>
        <v>0</v>
      </c>
      <c r="H81" s="78">
        <f>(HLOOKUP(CONCATENATE($G$3,-2),alles!$D$1:$AA$314,(MATCH(N81,alles!$C$1:$C$314,0)),0))*(HLOOKUP($G$3,'CO2 equivalenten'!$E$4:$Q$150,(MATCH(M81,'CO2 equivalenten'!$C$4:$C$150,0)),0))</f>
        <v>0</v>
      </c>
      <c r="I81" s="78">
        <f>(HLOOKUP(CONCATENATE($I$3,-1),alles!$D$1:$AA$314,(MATCH(N81,alles!$C$1:$C$314,0)),0))*(HLOOKUP($I$3,'CO2 equivalenten'!$E$4:$Q$150,(MATCH(M81,'CO2 equivalenten'!$C$4:$C$150,0)),0))</f>
        <v>0</v>
      </c>
      <c r="J81" s="78">
        <f>(HLOOKUP(CONCATENATE($I$3,-2),alles!$D$1:$AA$314,(MATCH(N81,alles!$C$1:$C$314,0)),0))*(HLOOKUP($I$3,'CO2 equivalenten'!$E$4:$Q$150,(MATCH(M81,'CO2 equivalenten'!$C$4:$C$150,0)),0))</f>
        <v>0</v>
      </c>
      <c r="K81" s="85" t="s">
        <v>135</v>
      </c>
      <c r="M81" s="39" t="s">
        <v>276</v>
      </c>
      <c r="N81" s="39" t="s">
        <v>276</v>
      </c>
    </row>
    <row r="82" spans="1:14" x14ac:dyDescent="0.15">
      <c r="A82" s="737" t="s">
        <v>156</v>
      </c>
      <c r="B82" s="738"/>
      <c r="C82" s="78">
        <f>(HLOOKUP(CONCATENATE($C$3,-1),alles!$D$1:$AA$314,(MATCH(N82,alles!$C$1:$C$314,0)),0))*(HLOOKUP($C$3,'CO2 equivalenten'!$E$4:$Q$150,(MATCH(M82,'CO2 equivalenten'!$C$4:$C$150,0)),0))</f>
        <v>151.80699999999999</v>
      </c>
      <c r="D82" s="78">
        <f>(HLOOKUP(CONCATENATE($C$3,-2),alles!$D$1:$AA$314,(MATCH(N82,alles!$C$1:$C$314,0)),0))*(HLOOKUP($C$3,'CO2 equivalenten'!$E$4:$Q$150,(MATCH(M82,'CO2 equivalenten'!$C$4:$C$150,0)),0))</f>
        <v>215.25717999999998</v>
      </c>
      <c r="E82" s="78">
        <f>(HLOOKUP(CONCATENATE($E$3,-1),alles!$D$1:$AA$314,(MATCH(N82,alles!$C$1:$C$314,0)),0))*(HLOOKUP($E$3,'CO2 equivalenten'!$E$4:$Q$150,(MATCH(M82,'CO2 equivalenten'!$C$4:$C$150,0)),0))</f>
        <v>250.14705999999998</v>
      </c>
      <c r="F82" s="78">
        <f>(HLOOKUP(CONCATENATE($E$3,-2),alles!$D$1:$AA$314,(MATCH(N82,alles!$C$1:$C$314,0)),0))*(HLOOKUP($E$3,'CO2 equivalenten'!$E$4:$Q$150,(MATCH(M82,'CO2 equivalenten'!$C$4:$C$150,0)),0))</f>
        <v>0</v>
      </c>
      <c r="G82" s="78">
        <f>(HLOOKUP(CONCATENATE($G$3,-1),alles!$D$1:$AA$314,(MATCH(N82,alles!$C$1:$C$314,0)),0))*(HLOOKUP($G$3,'CO2 equivalenten'!$E$4:$Q$150,(MATCH(M82,'CO2 equivalenten'!$C$4:$C$150,0)),0))</f>
        <v>227.53039000000001</v>
      </c>
      <c r="H82" s="78">
        <f>(HLOOKUP(CONCATENATE($G$3,-2),alles!$D$1:$AA$314,(MATCH(N82,alles!$C$1:$C$314,0)),0))*(HLOOKUP($G$3,'CO2 equivalenten'!$E$4:$Q$150,(MATCH(M82,'CO2 equivalenten'!$C$4:$C$150,0)),0))</f>
        <v>260.05311</v>
      </c>
      <c r="I82" s="78">
        <f>(HLOOKUP(CONCATENATE($I$3,-1),alles!$D$1:$AA$314,(MATCH(N82,alles!$C$1:$C$314,0)),0))*(HLOOKUP($I$3,'CO2 equivalenten'!$E$4:$Q$150,(MATCH(M82,'CO2 equivalenten'!$C$4:$C$150,0)),0))</f>
        <v>224.98311999999999</v>
      </c>
      <c r="J82" s="78">
        <f>(HLOOKUP(CONCATENATE($I$3,-2),alles!$D$1:$AA$314,(MATCH(N82,alles!$C$1:$C$314,0)),0))*(HLOOKUP($I$3,'CO2 equivalenten'!$E$4:$Q$150,(MATCH(M82,'CO2 equivalenten'!$C$4:$C$150,0)),0))</f>
        <v>221.30373</v>
      </c>
      <c r="K82" s="85" t="s">
        <v>135</v>
      </c>
      <c r="M82" s="39" t="s">
        <v>277</v>
      </c>
      <c r="N82" s="39" t="s">
        <v>277</v>
      </c>
    </row>
    <row r="83" spans="1:14" hidden="1" x14ac:dyDescent="0.15">
      <c r="A83" s="737" t="s">
        <v>157</v>
      </c>
      <c r="B83" s="738"/>
      <c r="C83" s="78">
        <f>(HLOOKUP(CONCATENATE($C$3,-1),alles!$D$1:$AA$314,(MATCH(N83,alles!$C$1:$C$314,0)),0))*(HLOOKUP($C$3,'CO2 equivalenten'!$E$4:$Q$150,(MATCH(M83,'CO2 equivalenten'!$C$4:$C$150,0)),0))</f>
        <v>0</v>
      </c>
      <c r="D83" s="78">
        <f>(HLOOKUP(CONCATENATE($C$3,-2),alles!$D$1:$AA$314,(MATCH(N83,alles!$C$1:$C$314,0)),0))*(HLOOKUP($C$3,'CO2 equivalenten'!$E$4:$Q$150,(MATCH(M83,'CO2 equivalenten'!$C$4:$C$150,0)),0))</f>
        <v>0</v>
      </c>
      <c r="E83" s="78">
        <f>(HLOOKUP(CONCATENATE($E$3,-1),alles!$D$1:$AA$314,(MATCH(N83,alles!$C$1:$C$314,0)),0))*(HLOOKUP($E$3,'CO2 equivalenten'!$E$4:$Q$150,(MATCH(M83,'CO2 equivalenten'!$C$4:$C$150,0)),0))</f>
        <v>0</v>
      </c>
      <c r="F83" s="78">
        <f>(HLOOKUP(CONCATENATE($E$3,-2),alles!$D$1:$AA$314,(MATCH(N83,alles!$C$1:$C$314,0)),0))*(HLOOKUP($E$3,'CO2 equivalenten'!$E$4:$Q$150,(MATCH(M83,'CO2 equivalenten'!$C$4:$C$150,0)),0))</f>
        <v>0</v>
      </c>
      <c r="G83" s="78">
        <f>(HLOOKUP(CONCATENATE($G$3,-1),alles!$D$1:$AA$314,(MATCH(N83,alles!$C$1:$C$314,0)),0))*(HLOOKUP($G$3,'CO2 equivalenten'!$E$4:$Q$150,(MATCH(M83,'CO2 equivalenten'!$C$4:$C$150,0)),0))</f>
        <v>0</v>
      </c>
      <c r="H83" s="78">
        <f>(HLOOKUP(CONCATENATE($G$3,-2),alles!$D$1:$AA$314,(MATCH(N83,alles!$C$1:$C$314,0)),0))*(HLOOKUP($G$3,'CO2 equivalenten'!$E$4:$Q$150,(MATCH(M83,'CO2 equivalenten'!$C$4:$C$150,0)),0))</f>
        <v>0</v>
      </c>
      <c r="I83" s="78">
        <f>(HLOOKUP(CONCATENATE($I$3,-1),alles!$D$1:$AA$314,(MATCH(N83,alles!$C$1:$C$314,0)),0))*(HLOOKUP($I$3,'CO2 equivalenten'!$E$4:$Q$150,(MATCH(M83,'CO2 equivalenten'!$C$4:$C$150,0)),0))</f>
        <v>0</v>
      </c>
      <c r="J83" s="78">
        <f>(HLOOKUP(CONCATENATE($I$3,-2),alles!$D$1:$AA$314,(MATCH(N83,alles!$C$1:$C$314,0)),0))*(HLOOKUP($I$3,'CO2 equivalenten'!$E$4:$Q$150,(MATCH(M83,'CO2 equivalenten'!$C$4:$C$150,0)),0))</f>
        <v>0</v>
      </c>
      <c r="K83" s="85" t="s">
        <v>135</v>
      </c>
      <c r="M83" s="39" t="s">
        <v>366</v>
      </c>
      <c r="N83" s="39" t="s">
        <v>366</v>
      </c>
    </row>
    <row r="84" spans="1:14" x14ac:dyDescent="0.15">
      <c r="A84" s="737" t="s">
        <v>158</v>
      </c>
      <c r="B84" s="738"/>
      <c r="C84" s="78">
        <f>(HLOOKUP(CONCATENATE($C$3,-1),alles!$D$1:$AA$314,(MATCH(N84,alles!$C$1:$C$314,0)),0))*(HLOOKUP($C$3,'CO2 equivalenten'!$E$4:$Q$150,(MATCH(M84,'CO2 equivalenten'!$C$4:$C$150,0)),0))</f>
        <v>5</v>
      </c>
      <c r="D84" s="78">
        <f>(HLOOKUP(CONCATENATE($C$3,-2),alles!$D$1:$AA$314,(MATCH(N84,alles!$C$1:$C$314,0)),0))*(HLOOKUP($C$3,'CO2 equivalenten'!$E$4:$Q$150,(MATCH(M84,'CO2 equivalenten'!$C$4:$C$150,0)),0))</f>
        <v>17.463999999999999</v>
      </c>
      <c r="E84" s="78">
        <f>(HLOOKUP(CONCATENATE($E$3,-1),alles!$D$1:$AA$314,(MATCH(N84,alles!$C$1:$C$314,0)),0))*(HLOOKUP($E$3,'CO2 equivalenten'!$E$4:$Q$150,(MATCH(M84,'CO2 equivalenten'!$C$4:$C$150,0)),0))</f>
        <v>45.392000000000003</v>
      </c>
      <c r="F84" s="78">
        <f>(HLOOKUP(CONCATENATE($E$3,-2),alles!$D$1:$AA$314,(MATCH(N84,alles!$C$1:$C$314,0)),0))*(HLOOKUP($E$3,'CO2 equivalenten'!$E$4:$Q$150,(MATCH(M84,'CO2 equivalenten'!$C$4:$C$150,0)),0))</f>
        <v>0</v>
      </c>
      <c r="G84" s="78">
        <f>(HLOOKUP(CONCATENATE($G$3,-1),alles!$D$1:$AA$314,(MATCH(N84,alles!$C$1:$C$314,0)),0))*(HLOOKUP($G$3,'CO2 equivalenten'!$E$4:$Q$150,(MATCH(M84,'CO2 equivalenten'!$C$4:$C$150,0)),0))</f>
        <v>31.408000000000001</v>
      </c>
      <c r="H84" s="78">
        <f>(HLOOKUP(CONCATENATE($G$3,-2),alles!$D$1:$AA$314,(MATCH(N84,alles!$C$1:$C$314,0)),0))*(HLOOKUP($G$3,'CO2 equivalenten'!$E$4:$Q$150,(MATCH(M84,'CO2 equivalenten'!$C$4:$C$150,0)),0))</f>
        <v>17.252000000000002</v>
      </c>
      <c r="I84" s="78">
        <f>(HLOOKUP(CONCATENATE($I$3,-1),alles!$D$1:$AA$314,(MATCH(N84,alles!$C$1:$C$314,0)),0))*(HLOOKUP($I$3,'CO2 equivalenten'!$E$4:$Q$150,(MATCH(M84,'CO2 equivalenten'!$C$4:$C$150,0)),0))</f>
        <v>29.74</v>
      </c>
      <c r="J84" s="78">
        <f>(HLOOKUP(CONCATENATE($I$3,-2),alles!$D$1:$AA$314,(MATCH(N84,alles!$C$1:$C$314,0)),0))*(HLOOKUP($I$3,'CO2 equivalenten'!$E$4:$Q$150,(MATCH(M84,'CO2 equivalenten'!$C$4:$C$150,0)),0))</f>
        <v>33.204000000000001</v>
      </c>
      <c r="K84" s="85" t="s">
        <v>135</v>
      </c>
      <c r="M84" s="39" t="s">
        <v>278</v>
      </c>
      <c r="N84" s="39" t="s">
        <v>278</v>
      </c>
    </row>
    <row r="85" spans="1:14" x14ac:dyDescent="0.15">
      <c r="A85" s="737" t="s">
        <v>159</v>
      </c>
      <c r="B85" s="738"/>
      <c r="C85" s="78">
        <f>(HLOOKUP(CONCATENATE($C$3,-1),alles!$D$1:$AA$314,(MATCH(N85,alles!$C$1:$C$314,0)),0))*(HLOOKUP($C$3,'CO2 equivalenten'!$E$4:$Q$150,(MATCH(M85,'CO2 equivalenten'!$C$4:$C$150,0)),0))</f>
        <v>34.020000000000003</v>
      </c>
      <c r="D85" s="78">
        <f>(HLOOKUP(CONCATENATE($C$3,-2),alles!$D$1:$AA$314,(MATCH(N85,alles!$C$1:$C$314,0)),0))*(HLOOKUP($C$3,'CO2 equivalenten'!$E$4:$Q$150,(MATCH(M85,'CO2 equivalenten'!$C$4:$C$150,0)),0))</f>
        <v>94.219200000000001</v>
      </c>
      <c r="E85" s="78">
        <f>(HLOOKUP(CONCATENATE($E$3,-1),alles!$D$1:$AA$314,(MATCH(N85,alles!$C$1:$C$314,0)),0))*(HLOOKUP($E$3,'CO2 equivalenten'!$E$4:$Q$150,(MATCH(M85,'CO2 equivalenten'!$C$4:$C$150,0)),0))</f>
        <v>51.179040000000008</v>
      </c>
      <c r="F85" s="78">
        <f>(HLOOKUP(CONCATENATE($E$3,-2),alles!$D$1:$AA$314,(MATCH(N85,alles!$C$1:$C$314,0)),0))*(HLOOKUP($E$3,'CO2 equivalenten'!$E$4:$Q$150,(MATCH(M85,'CO2 equivalenten'!$C$4:$C$150,0)),0))</f>
        <v>0</v>
      </c>
      <c r="G85" s="78">
        <f>(HLOOKUP(CONCATENATE($G$3,-1),alles!$D$1:$AA$314,(MATCH(N85,alles!$C$1:$C$314,0)),0))*(HLOOKUP($G$3,'CO2 equivalenten'!$E$4:$Q$150,(MATCH(M85,'CO2 equivalenten'!$C$4:$C$150,0)),0))</f>
        <v>44.686079999999997</v>
      </c>
      <c r="H85" s="78">
        <f>(HLOOKUP(CONCATENATE($G$3,-2),alles!$D$1:$AA$314,(MATCH(N85,alles!$C$1:$C$314,0)),0))*(HLOOKUP($G$3,'CO2 equivalenten'!$E$4:$Q$150,(MATCH(M85,'CO2 equivalenten'!$C$4:$C$150,0)),0))</f>
        <v>67.635000000000005</v>
      </c>
      <c r="I85" s="78">
        <f>(HLOOKUP(CONCATENATE($I$3,-1),alles!$D$1:$AA$314,(MATCH(N85,alles!$C$1:$C$314,0)),0))*(HLOOKUP($I$3,'CO2 equivalenten'!$E$4:$Q$150,(MATCH(M85,'CO2 equivalenten'!$C$4:$C$150,0)),0))</f>
        <v>65.64564</v>
      </c>
      <c r="J85" s="78">
        <f>(HLOOKUP(CONCATENATE($I$3,-2),alles!$D$1:$AA$314,(MATCH(N85,alles!$C$1:$C$314,0)),0))*(HLOOKUP($I$3,'CO2 equivalenten'!$E$4:$Q$150,(MATCH(M85,'CO2 equivalenten'!$C$4:$C$150,0)),0))</f>
        <v>60.863399999999999</v>
      </c>
      <c r="K85" s="85" t="s">
        <v>135</v>
      </c>
      <c r="M85" s="39" t="s">
        <v>279</v>
      </c>
      <c r="N85" s="39" t="s">
        <v>279</v>
      </c>
    </row>
    <row r="86" spans="1:14" hidden="1" x14ac:dyDescent="0.15">
      <c r="A86" s="737" t="s">
        <v>160</v>
      </c>
      <c r="B86" s="738"/>
      <c r="C86" s="78">
        <f>(HLOOKUP(CONCATENATE($C$3,-1),alles!$D$1:$AA$314,(MATCH(N86,alles!$C$1:$C$314,0)),0))*(HLOOKUP($C$3,'CO2 equivalenten'!$E$4:$Q$150,(MATCH(M86,'CO2 equivalenten'!$C$4:$C$150,0)),0))</f>
        <v>0</v>
      </c>
      <c r="D86" s="78">
        <f>(HLOOKUP(CONCATENATE($C$3,-2),alles!$D$1:$AA$314,(MATCH(N86,alles!$C$1:$C$314,0)),0))*(HLOOKUP($C$3,'CO2 equivalenten'!$E$4:$Q$150,(MATCH(M86,'CO2 equivalenten'!$C$4:$C$150,0)),0))</f>
        <v>0</v>
      </c>
      <c r="E86" s="78">
        <f>(HLOOKUP(CONCATENATE($E$3,-1),alles!$D$1:$AA$314,(MATCH(N86,alles!$C$1:$C$314,0)),0))*(HLOOKUP($E$3,'CO2 equivalenten'!$E$4:$Q$150,(MATCH(M86,'CO2 equivalenten'!$C$4:$C$150,0)),0))</f>
        <v>0</v>
      </c>
      <c r="F86" s="78">
        <f>(HLOOKUP(CONCATENATE($E$3,-2),alles!$D$1:$AA$314,(MATCH(N86,alles!$C$1:$C$314,0)),0))*(HLOOKUP($E$3,'CO2 equivalenten'!$E$4:$Q$150,(MATCH(M86,'CO2 equivalenten'!$C$4:$C$150,0)),0))</f>
        <v>0</v>
      </c>
      <c r="G86" s="78">
        <f>(HLOOKUP(CONCATENATE($G$3,-1),alles!$D$1:$AA$314,(MATCH(N86,alles!$C$1:$C$314,0)),0))*(HLOOKUP($G$3,'CO2 equivalenten'!$E$4:$Q$150,(MATCH(M86,'CO2 equivalenten'!$C$4:$C$150,0)),0))</f>
        <v>0</v>
      </c>
      <c r="H86" s="78">
        <f>(HLOOKUP(CONCATENATE($G$3,-2),alles!$D$1:$AA$314,(MATCH(N86,alles!$C$1:$C$314,0)),0))*(HLOOKUP($G$3,'CO2 equivalenten'!$E$4:$Q$150,(MATCH(M86,'CO2 equivalenten'!$C$4:$C$150,0)),0))</f>
        <v>0</v>
      </c>
      <c r="I86" s="78">
        <f>(HLOOKUP(CONCATENATE($I$3,-1),alles!$D$1:$AA$314,(MATCH(N86,alles!$C$1:$C$314,0)),0))*(HLOOKUP($I$3,'CO2 equivalenten'!$E$4:$Q$150,(MATCH(M86,'CO2 equivalenten'!$C$4:$C$150,0)),0))</f>
        <v>0</v>
      </c>
      <c r="J86" s="78">
        <f>(HLOOKUP(CONCATENATE($I$3,-2),alles!$D$1:$AA$314,(MATCH(N86,alles!$C$1:$C$314,0)),0))*(HLOOKUP($I$3,'CO2 equivalenten'!$E$4:$Q$150,(MATCH(M86,'CO2 equivalenten'!$C$4:$C$150,0)),0))</f>
        <v>0</v>
      </c>
      <c r="K86" s="85" t="s">
        <v>135</v>
      </c>
      <c r="M86" s="39" t="s">
        <v>367</v>
      </c>
      <c r="N86" s="39" t="s">
        <v>367</v>
      </c>
    </row>
    <row r="87" spans="1:14" hidden="1" x14ac:dyDescent="0.15">
      <c r="A87" s="737" t="s">
        <v>161</v>
      </c>
      <c r="B87" s="738"/>
      <c r="C87" s="78">
        <f>(HLOOKUP(CONCATENATE($C$3,-1),alles!$D$1:$AA$314,(MATCH(N87,alles!$C$1:$C$314,0)),0))*(HLOOKUP($C$3,'CO2 equivalenten'!$E$4:$Q$150,(MATCH(M87,'CO2 equivalenten'!$C$4:$C$150,0)),0))</f>
        <v>0</v>
      </c>
      <c r="D87" s="78">
        <f>(HLOOKUP(CONCATENATE($C$3,-2),alles!$D$1:$AA$314,(MATCH(N87,alles!$C$1:$C$314,0)),0))*(HLOOKUP($C$3,'CO2 equivalenten'!$E$4:$Q$150,(MATCH(M87,'CO2 equivalenten'!$C$4:$C$150,0)),0))</f>
        <v>0</v>
      </c>
      <c r="E87" s="78">
        <f>(HLOOKUP(CONCATENATE($E$3,-1),alles!$D$1:$AA$314,(MATCH(N87,alles!$C$1:$C$314,0)),0))*(HLOOKUP($E$3,'CO2 equivalenten'!$E$4:$Q$150,(MATCH(M87,'CO2 equivalenten'!$C$4:$C$150,0)),0))</f>
        <v>0</v>
      </c>
      <c r="F87" s="78">
        <f>(HLOOKUP(CONCATENATE($E$3,-2),alles!$D$1:$AA$314,(MATCH(N87,alles!$C$1:$C$314,0)),0))*(HLOOKUP($E$3,'CO2 equivalenten'!$E$4:$Q$150,(MATCH(M87,'CO2 equivalenten'!$C$4:$C$150,0)),0))</f>
        <v>0</v>
      </c>
      <c r="G87" s="78">
        <f>(HLOOKUP(CONCATENATE($G$3,-1),alles!$D$1:$AA$314,(MATCH(N87,alles!$C$1:$C$314,0)),0))*(HLOOKUP($G$3,'CO2 equivalenten'!$E$4:$Q$150,(MATCH(M87,'CO2 equivalenten'!$C$4:$C$150,0)),0))</f>
        <v>0</v>
      </c>
      <c r="H87" s="78">
        <f>(HLOOKUP(CONCATENATE($G$3,-2),alles!$D$1:$AA$314,(MATCH(N87,alles!$C$1:$C$314,0)),0))*(HLOOKUP($G$3,'CO2 equivalenten'!$E$4:$Q$150,(MATCH(M87,'CO2 equivalenten'!$C$4:$C$150,0)),0))</f>
        <v>0</v>
      </c>
      <c r="I87" s="78">
        <f>(HLOOKUP(CONCATENATE($I$3,-1),alles!$D$1:$AA$314,(MATCH(N87,alles!$C$1:$C$314,0)),0))*(HLOOKUP($I$3,'CO2 equivalenten'!$E$4:$Q$150,(MATCH(M87,'CO2 equivalenten'!$C$4:$C$150,0)),0))</f>
        <v>0</v>
      </c>
      <c r="J87" s="78">
        <f>(HLOOKUP(CONCATENATE($I$3,-2),alles!$D$1:$AA$314,(MATCH(N87,alles!$C$1:$C$314,0)),0))*(HLOOKUP($I$3,'CO2 equivalenten'!$E$4:$Q$150,(MATCH(M87,'CO2 equivalenten'!$C$4:$C$150,0)),0))</f>
        <v>0</v>
      </c>
      <c r="K87" s="85" t="s">
        <v>135</v>
      </c>
      <c r="M87" s="39" t="s">
        <v>280</v>
      </c>
      <c r="N87" s="39" t="s">
        <v>280</v>
      </c>
    </row>
    <row r="88" spans="1:14" hidden="1" x14ac:dyDescent="0.15">
      <c r="A88" s="737" t="s">
        <v>162</v>
      </c>
      <c r="B88" s="738"/>
      <c r="C88" s="78">
        <f>(HLOOKUP(CONCATENATE($C$3,-1),alles!$D$1:$AA$314,(MATCH(N88,alles!$C$1:$C$314,0)),0))*(HLOOKUP($C$3,'CO2 equivalenten'!$E$4:$Q$150,(MATCH(M88,'CO2 equivalenten'!$C$4:$C$150,0)),0))</f>
        <v>0</v>
      </c>
      <c r="D88" s="78">
        <f>(HLOOKUP(CONCATENATE($C$3,-2),alles!$D$1:$AA$314,(MATCH(N88,alles!$C$1:$C$314,0)),0))*(HLOOKUP($C$3,'CO2 equivalenten'!$E$4:$Q$150,(MATCH(M88,'CO2 equivalenten'!$C$4:$C$150,0)),0))</f>
        <v>0</v>
      </c>
      <c r="E88" s="78">
        <f>(HLOOKUP(CONCATENATE($E$3,-1),alles!$D$1:$AA$314,(MATCH(N88,alles!$C$1:$C$314,0)),0))*(HLOOKUP($E$3,'CO2 equivalenten'!$E$4:$Q$150,(MATCH(M88,'CO2 equivalenten'!$C$4:$C$150,0)),0))</f>
        <v>0</v>
      </c>
      <c r="F88" s="78">
        <f>(HLOOKUP(CONCATENATE($E$3,-2),alles!$D$1:$AA$314,(MATCH(N88,alles!$C$1:$C$314,0)),0))*(HLOOKUP($E$3,'CO2 equivalenten'!$E$4:$Q$150,(MATCH(M88,'CO2 equivalenten'!$C$4:$C$150,0)),0))</f>
        <v>0</v>
      </c>
      <c r="G88" s="78">
        <f>(HLOOKUP(CONCATENATE($G$3,-1),alles!$D$1:$AA$314,(MATCH(N88,alles!$C$1:$C$314,0)),0))*(HLOOKUP($G$3,'CO2 equivalenten'!$E$4:$Q$150,(MATCH(M88,'CO2 equivalenten'!$C$4:$C$150,0)),0))</f>
        <v>0</v>
      </c>
      <c r="H88" s="78">
        <f>(HLOOKUP(CONCATENATE($G$3,-2),alles!$D$1:$AA$314,(MATCH(N88,alles!$C$1:$C$314,0)),0))*(HLOOKUP($G$3,'CO2 equivalenten'!$E$4:$Q$150,(MATCH(M88,'CO2 equivalenten'!$C$4:$C$150,0)),0))</f>
        <v>0</v>
      </c>
      <c r="I88" s="78">
        <f>(HLOOKUP(CONCATENATE($I$3,-1),alles!$D$1:$AA$314,(MATCH(N88,alles!$C$1:$C$314,0)),0))*(HLOOKUP($I$3,'CO2 equivalenten'!$E$4:$Q$150,(MATCH(M88,'CO2 equivalenten'!$C$4:$C$150,0)),0))</f>
        <v>0</v>
      </c>
      <c r="J88" s="78">
        <f>(HLOOKUP(CONCATENATE($I$3,-2),alles!$D$1:$AA$314,(MATCH(N88,alles!$C$1:$C$314,0)),0))*(HLOOKUP($I$3,'CO2 equivalenten'!$E$4:$Q$150,(MATCH(M88,'CO2 equivalenten'!$C$4:$C$150,0)),0))</f>
        <v>0</v>
      </c>
      <c r="K88" s="85" t="s">
        <v>135</v>
      </c>
      <c r="M88" s="39" t="s">
        <v>368</v>
      </c>
      <c r="N88" s="39" t="s">
        <v>368</v>
      </c>
    </row>
    <row r="89" spans="1:14" x14ac:dyDescent="0.15">
      <c r="A89" s="737" t="s">
        <v>163</v>
      </c>
      <c r="B89" s="738"/>
      <c r="C89" s="78">
        <f>(HLOOKUP(CONCATENATE($C$3,-1),alles!$D$1:$AA$314,(MATCH(N89,alles!$C$1:$C$314,0)),0))*(HLOOKUP($C$3,'CO2 equivalenten'!$E$4:$Q$150,(MATCH(M89,'CO2 equivalenten'!$C$4:$C$150,0)),0))</f>
        <v>184.78800000000001</v>
      </c>
      <c r="D89" s="78">
        <f>(HLOOKUP(CONCATENATE($C$3,-2),alles!$D$1:$AA$314,(MATCH(N89,alles!$C$1:$C$314,0)),0))*(HLOOKUP($C$3,'CO2 equivalenten'!$E$4:$Q$150,(MATCH(M89,'CO2 equivalenten'!$C$4:$C$150,0)),0))</f>
        <v>183.38616000000002</v>
      </c>
      <c r="E89" s="78">
        <f>(HLOOKUP(CONCATENATE($E$3,-1),alles!$D$1:$AA$314,(MATCH(N89,alles!$C$1:$C$314,0)),0))*(HLOOKUP($E$3,'CO2 equivalenten'!$E$4:$Q$150,(MATCH(M89,'CO2 equivalenten'!$C$4:$C$150,0)),0))</f>
        <v>61.50573</v>
      </c>
      <c r="F89" s="78">
        <f>(HLOOKUP(CONCATENATE($E$3,-2),alles!$D$1:$AA$314,(MATCH(N89,alles!$C$1:$C$314,0)),0))*(HLOOKUP($E$3,'CO2 equivalenten'!$E$4:$Q$150,(MATCH(M89,'CO2 equivalenten'!$C$4:$C$150,0)),0))</f>
        <v>0</v>
      </c>
      <c r="G89" s="78">
        <f>(HLOOKUP(CONCATENATE($G$3,-1),alles!$D$1:$AA$314,(MATCH(N89,alles!$C$1:$C$314,0)),0))*(HLOOKUP($G$3,'CO2 equivalenten'!$E$4:$Q$150,(MATCH(M89,'CO2 equivalenten'!$C$4:$C$150,0)),0))</f>
        <v>87.567210000000003</v>
      </c>
      <c r="H89" s="78">
        <f>(HLOOKUP(CONCATENATE($G$3,-2),alles!$D$1:$AA$314,(MATCH(N89,alles!$C$1:$C$314,0)),0))*(HLOOKUP($G$3,'CO2 equivalenten'!$E$4:$Q$150,(MATCH(M89,'CO2 equivalenten'!$C$4:$C$150,0)),0))</f>
        <v>91.852379999999997</v>
      </c>
      <c r="I89" s="78">
        <f>(HLOOKUP(CONCATENATE($I$3,-1),alles!$D$1:$AA$314,(MATCH(N89,alles!$C$1:$C$314,0)),0))*(HLOOKUP($I$3,'CO2 equivalenten'!$E$4:$Q$150,(MATCH(M89,'CO2 equivalenten'!$C$4:$C$150,0)),0))</f>
        <v>66.810419999999993</v>
      </c>
      <c r="J89" s="78">
        <f>(HLOOKUP(CONCATENATE($I$3,-2),alles!$D$1:$AA$314,(MATCH(N89,alles!$C$1:$C$314,0)),0))*(HLOOKUP($I$3,'CO2 equivalenten'!$E$4:$Q$150,(MATCH(M89,'CO2 equivalenten'!$C$4:$C$150,0)),0))</f>
        <v>75.317040000000006</v>
      </c>
      <c r="K89" s="85" t="s">
        <v>135</v>
      </c>
      <c r="M89" s="39" t="s">
        <v>369</v>
      </c>
      <c r="N89" s="39" t="s">
        <v>369</v>
      </c>
    </row>
    <row r="90" spans="1:14" hidden="1" x14ac:dyDescent="0.15">
      <c r="A90" s="737" t="s">
        <v>189</v>
      </c>
      <c r="B90" s="738"/>
      <c r="C90" s="78">
        <f>(HLOOKUP(CONCATENATE($C$3,-1),alles!$D$1:$AA$314,(MATCH(N90,alles!$C$1:$C$314,0)),0))*(HLOOKUP($C$3,'CO2 equivalenten'!$E$4:$Q$150,(MATCH(M90,'CO2 equivalenten'!$C$4:$C$150,0)),0))</f>
        <v>0</v>
      </c>
      <c r="D90" s="78">
        <f>(HLOOKUP(CONCATENATE($C$3,-2),alles!$D$1:$AA$314,(MATCH(N90,alles!$C$1:$C$314,0)),0))*(HLOOKUP($C$3,'CO2 equivalenten'!$E$4:$Q$150,(MATCH(M90,'CO2 equivalenten'!$C$4:$C$150,0)),0))</f>
        <v>0</v>
      </c>
      <c r="E90" s="78">
        <f>(HLOOKUP(CONCATENATE($E$3,-1),alles!$D$1:$AA$314,(MATCH(N90,alles!$C$1:$C$314,0)),0))*(HLOOKUP($E$3,'CO2 equivalenten'!$E$4:$Q$150,(MATCH(M90,'CO2 equivalenten'!$C$4:$C$150,0)),0))</f>
        <v>0</v>
      </c>
      <c r="F90" s="78">
        <f>(HLOOKUP(CONCATENATE($E$3,-2),alles!$D$1:$AA$314,(MATCH(N90,alles!$C$1:$C$314,0)),0))*(HLOOKUP($E$3,'CO2 equivalenten'!$E$4:$Q$150,(MATCH(M90,'CO2 equivalenten'!$C$4:$C$150,0)),0))</f>
        <v>0</v>
      </c>
      <c r="G90" s="78">
        <f>(HLOOKUP(CONCATENATE($G$3,-1),alles!$D$1:$AA$314,(MATCH(N90,alles!$C$1:$C$314,0)),0))*(HLOOKUP($G$3,'CO2 equivalenten'!$E$4:$Q$150,(MATCH(M90,'CO2 equivalenten'!$C$4:$C$150,0)),0))</f>
        <v>0</v>
      </c>
      <c r="H90" s="78">
        <f>(HLOOKUP(CONCATENATE($G$3,-2),alles!$D$1:$AA$314,(MATCH(N90,alles!$C$1:$C$314,0)),0))*(HLOOKUP($G$3,'CO2 equivalenten'!$E$4:$Q$150,(MATCH(M90,'CO2 equivalenten'!$C$4:$C$150,0)),0))</f>
        <v>0</v>
      </c>
      <c r="I90" s="78">
        <f>(HLOOKUP(CONCATENATE($I$3,-1),alles!$D$1:$AA$314,(MATCH(N90,alles!$C$1:$C$314,0)),0))*(HLOOKUP($I$3,'CO2 equivalenten'!$E$4:$Q$150,(MATCH(M90,'CO2 equivalenten'!$C$4:$C$150,0)),0))</f>
        <v>0</v>
      </c>
      <c r="J90" s="78">
        <f>(HLOOKUP(CONCATENATE($I$3,-2),alles!$D$1:$AA$314,(MATCH(N90,alles!$C$1:$C$314,0)),0))*(HLOOKUP($I$3,'CO2 equivalenten'!$E$4:$Q$150,(MATCH(M90,'CO2 equivalenten'!$C$4:$C$150,0)),0))</f>
        <v>0</v>
      </c>
      <c r="K90" s="85" t="s">
        <v>135</v>
      </c>
      <c r="M90" s="39" t="s">
        <v>370</v>
      </c>
      <c r="N90" s="39" t="s">
        <v>370</v>
      </c>
    </row>
    <row r="91" spans="1:14" hidden="1" x14ac:dyDescent="0.15">
      <c r="A91" s="737" t="s">
        <v>190</v>
      </c>
      <c r="B91" s="738"/>
      <c r="C91" s="78">
        <f>(HLOOKUP(CONCATENATE($C$3,-1),alles!$D$1:$AA$314,(MATCH(N91,alles!$C$1:$C$314,0)),0))*(HLOOKUP($C$3,'CO2 equivalenten'!$E$4:$Q$150,(MATCH(M91,'CO2 equivalenten'!$C$4:$C$150,0)),0))</f>
        <v>0</v>
      </c>
      <c r="D91" s="78">
        <f>(HLOOKUP(CONCATENATE($C$3,-2),alles!$D$1:$AA$314,(MATCH(N91,alles!$C$1:$C$314,0)),0))*(HLOOKUP($C$3,'CO2 equivalenten'!$E$4:$Q$150,(MATCH(M91,'CO2 equivalenten'!$C$4:$C$150,0)),0))</f>
        <v>0</v>
      </c>
      <c r="E91" s="78">
        <f>(HLOOKUP(CONCATENATE($E$3,-1),alles!$D$1:$AA$314,(MATCH(N91,alles!$C$1:$C$314,0)),0))*(HLOOKUP($E$3,'CO2 equivalenten'!$E$4:$Q$150,(MATCH(M91,'CO2 equivalenten'!$C$4:$C$150,0)),0))</f>
        <v>0</v>
      </c>
      <c r="F91" s="78">
        <f>(HLOOKUP(CONCATENATE($E$3,-2),alles!$D$1:$AA$314,(MATCH(N91,alles!$C$1:$C$314,0)),0))*(HLOOKUP($E$3,'CO2 equivalenten'!$E$4:$Q$150,(MATCH(M91,'CO2 equivalenten'!$C$4:$C$150,0)),0))</f>
        <v>0</v>
      </c>
      <c r="G91" s="78">
        <f>(HLOOKUP(CONCATENATE($G$3,-1),alles!$D$1:$AA$314,(MATCH(N91,alles!$C$1:$C$314,0)),0))*(HLOOKUP($G$3,'CO2 equivalenten'!$E$4:$Q$150,(MATCH(M91,'CO2 equivalenten'!$C$4:$C$150,0)),0))</f>
        <v>0</v>
      </c>
      <c r="H91" s="78">
        <f>(HLOOKUP(CONCATENATE($G$3,-2),alles!$D$1:$AA$314,(MATCH(N91,alles!$C$1:$C$314,0)),0))*(HLOOKUP($G$3,'CO2 equivalenten'!$E$4:$Q$150,(MATCH(M91,'CO2 equivalenten'!$C$4:$C$150,0)),0))</f>
        <v>0</v>
      </c>
      <c r="I91" s="78">
        <f>(HLOOKUP(CONCATENATE($I$3,-1),alles!$D$1:$AA$314,(MATCH(N91,alles!$C$1:$C$314,0)),0))*(HLOOKUP($I$3,'CO2 equivalenten'!$E$4:$Q$150,(MATCH(M91,'CO2 equivalenten'!$C$4:$C$150,0)),0))</f>
        <v>0</v>
      </c>
      <c r="J91" s="78">
        <f>(HLOOKUP(CONCATENATE($I$3,-2),alles!$D$1:$AA$314,(MATCH(N91,alles!$C$1:$C$314,0)),0))*(HLOOKUP($I$3,'CO2 equivalenten'!$E$4:$Q$150,(MATCH(M91,'CO2 equivalenten'!$C$4:$C$150,0)),0))</f>
        <v>0</v>
      </c>
      <c r="K91" s="85" t="s">
        <v>135</v>
      </c>
      <c r="M91" s="39" t="s">
        <v>371</v>
      </c>
      <c r="N91" s="39" t="s">
        <v>371</v>
      </c>
    </row>
    <row r="92" spans="1:14" x14ac:dyDescent="0.15">
      <c r="A92" s="737" t="s">
        <v>164</v>
      </c>
      <c r="B92" s="738"/>
      <c r="C92" s="78">
        <f>(HLOOKUP(CONCATENATE($C$3,-1),alles!$D$1:$AA$314,(MATCH(N92,alles!$C$1:$C$314,0)),0))*(HLOOKUP($C$3,'CO2 equivalenten'!$E$4:$Q$150,(MATCH(M92,'CO2 equivalenten'!$C$4:$C$150,0)),0))</f>
        <v>38.594999999999999</v>
      </c>
      <c r="D92" s="78">
        <f>(HLOOKUP(CONCATENATE($C$3,-2),alles!$D$1:$AA$314,(MATCH(N92,alles!$C$1:$C$314,0)),0))*(HLOOKUP($C$3,'CO2 equivalenten'!$E$4:$Q$150,(MATCH(M92,'CO2 equivalenten'!$C$4:$C$150,0)),0))</f>
        <v>400.10149999999999</v>
      </c>
      <c r="E92" s="78">
        <f>(HLOOKUP(CONCATENATE($E$3,-1),alles!$D$1:$AA$314,(MATCH(N92,alles!$C$1:$C$314,0)),0))*(HLOOKUP($E$3,'CO2 equivalenten'!$E$4:$Q$150,(MATCH(M92,'CO2 equivalenten'!$C$4:$C$150,0)),0))</f>
        <v>30.824539999999999</v>
      </c>
      <c r="F92" s="78">
        <f>(HLOOKUP(CONCATENATE($E$3,-2),alles!$D$1:$AA$314,(MATCH(N92,alles!$C$1:$C$314,0)),0))*(HLOOKUP($E$3,'CO2 equivalenten'!$E$4:$Q$150,(MATCH(M92,'CO2 equivalenten'!$C$4:$C$150,0)),0))</f>
        <v>0</v>
      </c>
      <c r="G92" s="78">
        <f>(HLOOKUP(CONCATENATE($G$3,-1),alles!$D$1:$AA$314,(MATCH(N92,alles!$C$1:$C$314,0)),0))*(HLOOKUP($G$3,'CO2 equivalenten'!$E$4:$Q$150,(MATCH(M92,'CO2 equivalenten'!$C$4:$C$150,0)),0))</f>
        <v>50.507989999999999</v>
      </c>
      <c r="H92" s="78">
        <f>(HLOOKUP(CONCATENATE($G$3,-2),alles!$D$1:$AA$314,(MATCH(N92,alles!$C$1:$C$314,0)),0))*(HLOOKUP($G$3,'CO2 equivalenten'!$E$4:$Q$150,(MATCH(M92,'CO2 equivalenten'!$C$4:$C$150,0)),0))</f>
        <v>39.521279999999997</v>
      </c>
      <c r="I92" s="78">
        <f>(HLOOKUP(CONCATENATE($I$3,-1),alles!$D$1:$AA$314,(MATCH(N92,alles!$C$1:$C$314,0)),0))*(HLOOKUP($I$3,'CO2 equivalenten'!$E$4:$Q$150,(MATCH(M92,'CO2 equivalenten'!$C$4:$C$150,0)),0))</f>
        <v>59.179000000000002</v>
      </c>
      <c r="J92" s="78">
        <f>(HLOOKUP(CONCATENATE($I$3,-2),alles!$D$1:$AA$314,(MATCH(N92,alles!$C$1:$C$314,0)),0))*(HLOOKUP($I$3,'CO2 equivalenten'!$E$4:$Q$150,(MATCH(M92,'CO2 equivalenten'!$C$4:$C$150,0)),0))</f>
        <v>53.003800000000005</v>
      </c>
      <c r="K92" s="85" t="s">
        <v>135</v>
      </c>
      <c r="M92" s="39" t="s">
        <v>372</v>
      </c>
      <c r="N92" s="39" t="s">
        <v>372</v>
      </c>
    </row>
    <row r="93" spans="1:14" ht="13" hidden="1" customHeight="1" x14ac:dyDescent="0.15">
      <c r="A93" s="737" t="s">
        <v>165</v>
      </c>
      <c r="B93" s="738"/>
      <c r="C93" s="78">
        <f>(HLOOKUP(CONCATENATE($C$3,-1),alles!$D$1:$AA$314,(MATCH(N93,alles!$C$1:$C$314,0)),0))*(HLOOKUP($C$3,'CO2 equivalenten'!$E$4:$Q$150,(MATCH(M93,'CO2 equivalenten'!$C$4:$C$150,0)),0))</f>
        <v>0</v>
      </c>
      <c r="D93" s="78">
        <f>(HLOOKUP(CONCATENATE($C$3,-2),alles!$D$1:$AA$314,(MATCH(N93,alles!$C$1:$C$314,0)),0))*(HLOOKUP($C$3,'CO2 equivalenten'!$E$4:$Q$150,(MATCH(M93,'CO2 equivalenten'!$C$4:$C$150,0)),0))</f>
        <v>0</v>
      </c>
      <c r="E93" s="78">
        <f>(HLOOKUP(CONCATENATE($E$3,-1),alles!$D$1:$AA$314,(MATCH(N93,alles!$C$1:$C$314,0)),0))*(HLOOKUP($E$3,'CO2 equivalenten'!$E$4:$Q$150,(MATCH(M93,'CO2 equivalenten'!$C$4:$C$150,0)),0))</f>
        <v>0</v>
      </c>
      <c r="F93" s="78">
        <f>(HLOOKUP(CONCATENATE($E$3,-2),alles!$D$1:$AA$314,(MATCH(N93,alles!$C$1:$C$314,0)),0))*(HLOOKUP($E$3,'CO2 equivalenten'!$E$4:$Q$150,(MATCH(M93,'CO2 equivalenten'!$C$4:$C$150,0)),0))</f>
        <v>0</v>
      </c>
      <c r="G93" s="78">
        <f>(HLOOKUP(CONCATENATE($G$3,-1),alles!$D$1:$AA$314,(MATCH(N93,alles!$C$1:$C$314,0)),0))*(HLOOKUP($G$3,'CO2 equivalenten'!$E$4:$Q$150,(MATCH(M93,'CO2 equivalenten'!$C$4:$C$150,0)),0))</f>
        <v>0</v>
      </c>
      <c r="H93" s="78">
        <f>(HLOOKUP(CONCATENATE($G$3,-2),alles!$D$1:$AA$314,(MATCH(N93,alles!$C$1:$C$314,0)),0))*(HLOOKUP($G$3,'CO2 equivalenten'!$E$4:$Q$150,(MATCH(M93,'CO2 equivalenten'!$C$4:$C$150,0)),0))</f>
        <v>0</v>
      </c>
      <c r="I93" s="78">
        <f>(HLOOKUP(CONCATENATE($I$3,-1),alles!$D$1:$AA$314,(MATCH(N93,alles!$C$1:$C$314,0)),0))*(HLOOKUP($I$3,'CO2 equivalenten'!$E$4:$Q$150,(MATCH(M93,'CO2 equivalenten'!$C$4:$C$150,0)),0))</f>
        <v>0</v>
      </c>
      <c r="J93" s="78">
        <f>(HLOOKUP(CONCATENATE($I$3,-2),alles!$D$1:$AA$314,(MATCH(N93,alles!$C$1:$C$314,0)),0))*(HLOOKUP($I$3,'CO2 equivalenten'!$E$4:$Q$150,(MATCH(M93,'CO2 equivalenten'!$C$4:$C$150,0)),0))</f>
        <v>0</v>
      </c>
      <c r="K93" s="85" t="s">
        <v>135</v>
      </c>
      <c r="M93" s="39" t="s">
        <v>373</v>
      </c>
      <c r="N93" s="39" t="s">
        <v>373</v>
      </c>
    </row>
    <row r="94" spans="1:14" x14ac:dyDescent="0.15">
      <c r="A94" s="737" t="s">
        <v>166</v>
      </c>
      <c r="B94" s="738"/>
      <c r="C94" s="78">
        <f>(HLOOKUP(CONCATENATE($C$3,-1),alles!$D$1:$AA$314,(MATCH(N94,alles!$C$1:$C$314,0)),0))*(HLOOKUP($C$3,'CO2 equivalenten'!$E$4:$Q$150,(MATCH(M94,'CO2 equivalenten'!$C$4:$C$150,0)),0))</f>
        <v>239.05449999999999</v>
      </c>
      <c r="D94" s="78">
        <f>(HLOOKUP(CONCATENATE($C$3,-2),alles!$D$1:$AA$314,(MATCH(N94,alles!$C$1:$C$314,0)),0))*(HLOOKUP($C$3,'CO2 equivalenten'!$E$4:$Q$150,(MATCH(M94,'CO2 equivalenten'!$C$4:$C$150,0)),0))</f>
        <v>314.39738999999997</v>
      </c>
      <c r="E94" s="78">
        <f>(HLOOKUP(CONCATENATE($E$3,-1),alles!$D$1:$AA$314,(MATCH(N94,alles!$C$1:$C$314,0)),0))*(HLOOKUP($E$3,'CO2 equivalenten'!$E$4:$Q$150,(MATCH(M94,'CO2 equivalenten'!$C$4:$C$150,0)),0))</f>
        <v>179.462715</v>
      </c>
      <c r="F94" s="78">
        <f>(HLOOKUP(CONCATENATE($E$3,-2),alles!$D$1:$AA$314,(MATCH(N94,alles!$C$1:$C$314,0)),0))*(HLOOKUP($E$3,'CO2 equivalenten'!$E$4:$Q$150,(MATCH(M94,'CO2 equivalenten'!$C$4:$C$150,0)),0))</f>
        <v>0</v>
      </c>
      <c r="G94" s="78">
        <f>(HLOOKUP(CONCATENATE($G$3,-1),alles!$D$1:$AA$314,(MATCH(N94,alles!$C$1:$C$314,0)),0))*(HLOOKUP($G$3,'CO2 equivalenten'!$E$4:$Q$150,(MATCH(M94,'CO2 equivalenten'!$C$4:$C$150,0)),0))</f>
        <v>205.59760999999997</v>
      </c>
      <c r="H94" s="78">
        <f>(HLOOKUP(CONCATENATE($G$3,-2),alles!$D$1:$AA$314,(MATCH(N94,alles!$C$1:$C$314,0)),0))*(HLOOKUP($G$3,'CO2 equivalenten'!$E$4:$Q$150,(MATCH(M94,'CO2 equivalenten'!$C$4:$C$150,0)),0))</f>
        <v>287.95551</v>
      </c>
      <c r="I94" s="78">
        <f>(HLOOKUP(CONCATENATE($I$3,-1),alles!$D$1:$AA$314,(MATCH(N94,alles!$C$1:$C$314,0)),0))*(HLOOKUP($I$3,'CO2 equivalenten'!$E$4:$Q$150,(MATCH(M94,'CO2 equivalenten'!$C$4:$C$150,0)),0))</f>
        <v>175.00113999999999</v>
      </c>
      <c r="J94" s="78">
        <f>(HLOOKUP(CONCATENATE($I$3,-2),alles!$D$1:$AA$314,(MATCH(N94,alles!$C$1:$C$314,0)),0))*(HLOOKUP($I$3,'CO2 equivalenten'!$E$4:$Q$150,(MATCH(M94,'CO2 equivalenten'!$C$4:$C$150,0)),0))</f>
        <v>235.31250499999999</v>
      </c>
      <c r="K94" s="85" t="s">
        <v>135</v>
      </c>
      <c r="M94" s="39" t="s">
        <v>374</v>
      </c>
      <c r="N94" s="39" t="s">
        <v>374</v>
      </c>
    </row>
    <row r="95" spans="1:14" hidden="1" x14ac:dyDescent="0.15">
      <c r="A95" s="737" t="s">
        <v>167</v>
      </c>
      <c r="B95" s="738"/>
      <c r="C95" s="78">
        <f>(HLOOKUP(CONCATENATE($C$3,-1),alles!$D$1:$AA$314,(MATCH(N95,alles!$C$1:$C$314,0)),0))*(HLOOKUP($C$3,'CO2 equivalenten'!$E$4:$Q$150,(MATCH(M95,'CO2 equivalenten'!$C$4:$C$150,0)),0))</f>
        <v>0</v>
      </c>
      <c r="D95" s="78">
        <f>(HLOOKUP(CONCATENATE($C$3,-2),alles!$D$1:$AA$314,(MATCH(N95,alles!$C$1:$C$314,0)),0))*(HLOOKUP($C$3,'CO2 equivalenten'!$E$4:$Q$150,(MATCH(M95,'CO2 equivalenten'!$C$4:$C$150,0)),0))</f>
        <v>0</v>
      </c>
      <c r="E95" s="78">
        <f>(HLOOKUP(CONCATENATE($E$3,-1),alles!$D$1:$AA$314,(MATCH(N95,alles!$C$1:$C$314,0)),0))*(HLOOKUP($E$3,'CO2 equivalenten'!$E$4:$Q$150,(MATCH(M95,'CO2 equivalenten'!$C$4:$C$150,0)),0))</f>
        <v>0</v>
      </c>
      <c r="F95" s="78">
        <f>(HLOOKUP(CONCATENATE($E$3,-2),alles!$D$1:$AA$314,(MATCH(N95,alles!$C$1:$C$314,0)),0))*(HLOOKUP($E$3,'CO2 equivalenten'!$E$4:$Q$150,(MATCH(M95,'CO2 equivalenten'!$C$4:$C$150,0)),0))</f>
        <v>0</v>
      </c>
      <c r="G95" s="78">
        <f>(HLOOKUP(CONCATENATE($G$3,-1),alles!$D$1:$AA$314,(MATCH(N95,alles!$C$1:$C$314,0)),0))*(HLOOKUP($G$3,'CO2 equivalenten'!$E$4:$Q$150,(MATCH(M95,'CO2 equivalenten'!$C$4:$C$150,0)),0))</f>
        <v>0</v>
      </c>
      <c r="H95" s="78">
        <f>(HLOOKUP(CONCATENATE($G$3,-2),alles!$D$1:$AA$314,(MATCH(N95,alles!$C$1:$C$314,0)),0))*(HLOOKUP($G$3,'CO2 equivalenten'!$E$4:$Q$150,(MATCH(M95,'CO2 equivalenten'!$C$4:$C$150,0)),0))</f>
        <v>0</v>
      </c>
      <c r="I95" s="78">
        <f>(HLOOKUP(CONCATENATE($I$3,-1),alles!$D$1:$AA$314,(MATCH(N95,alles!$C$1:$C$314,0)),0))*(HLOOKUP($I$3,'CO2 equivalenten'!$E$4:$Q$150,(MATCH(M95,'CO2 equivalenten'!$C$4:$C$150,0)),0))</f>
        <v>0</v>
      </c>
      <c r="J95" s="78">
        <f>(HLOOKUP(CONCATENATE($I$3,-2),alles!$D$1:$AA$314,(MATCH(N95,alles!$C$1:$C$314,0)),0))*(HLOOKUP($I$3,'CO2 equivalenten'!$E$4:$Q$150,(MATCH(M95,'CO2 equivalenten'!$C$4:$C$150,0)),0))</f>
        <v>0</v>
      </c>
      <c r="K95" s="85" t="s">
        <v>135</v>
      </c>
      <c r="M95" s="39" t="s">
        <v>375</v>
      </c>
      <c r="N95" s="39" t="s">
        <v>375</v>
      </c>
    </row>
    <row r="96" spans="1:14" x14ac:dyDescent="0.15">
      <c r="A96" s="737" t="s">
        <v>168</v>
      </c>
      <c r="B96" s="738"/>
      <c r="C96" s="78">
        <f>(HLOOKUP(CONCATENATE($C$3,-1),alles!$D$1:$AA$314,(MATCH(N96,alles!$C$1:$C$314,0)),0))*(HLOOKUP($C$3,'CO2 equivalenten'!$E$4:$Q$150,(MATCH(M96,'CO2 equivalenten'!$C$4:$C$150,0)),0))</f>
        <v>133.84800000000001</v>
      </c>
      <c r="D96" s="78">
        <f>(HLOOKUP(CONCATENATE($C$3,-2),alles!$D$1:$AA$314,(MATCH(N96,alles!$C$1:$C$314,0)),0))*(HLOOKUP($C$3,'CO2 equivalenten'!$E$4:$Q$150,(MATCH(M96,'CO2 equivalenten'!$C$4:$C$150,0)),0))</f>
        <v>966.7678800000001</v>
      </c>
      <c r="E96" s="78">
        <f>(HLOOKUP(CONCATENATE($E$3,-1),alles!$D$1:$AA$314,(MATCH(N96,alles!$C$1:$C$314,0)),0))*(HLOOKUP($E$3,'CO2 equivalenten'!$E$4:$Q$150,(MATCH(M96,'CO2 equivalenten'!$C$4:$C$150,0)),0))</f>
        <v>707.40696000000003</v>
      </c>
      <c r="F96" s="78">
        <f>(HLOOKUP(CONCATENATE($E$3,-2),alles!$D$1:$AA$314,(MATCH(N96,alles!$C$1:$C$314,0)),0))*(HLOOKUP($E$3,'CO2 equivalenten'!$E$4:$Q$150,(MATCH(M96,'CO2 equivalenten'!$C$4:$C$150,0)),0))</f>
        <v>0</v>
      </c>
      <c r="G96" s="78">
        <f>(HLOOKUP(CONCATENATE($G$3,-1),alles!$D$1:$AA$314,(MATCH(N96,alles!$C$1:$C$314,0)),0))*(HLOOKUP($G$3,'CO2 equivalenten'!$E$4:$Q$150,(MATCH(M96,'CO2 equivalenten'!$C$4:$C$150,0)),0))</f>
        <v>784.35604000000001</v>
      </c>
      <c r="H96" s="78">
        <f>(HLOOKUP(CONCATENATE($G$3,-2),alles!$D$1:$AA$314,(MATCH(N96,alles!$C$1:$C$314,0)),0))*(HLOOKUP($G$3,'CO2 equivalenten'!$E$4:$Q$150,(MATCH(M96,'CO2 equivalenten'!$C$4:$C$150,0)),0))</f>
        <v>802.45256000000006</v>
      </c>
      <c r="I96" s="78">
        <f>(HLOOKUP(CONCATENATE($I$3,-1),alles!$D$1:$AA$314,(MATCH(N96,alles!$C$1:$C$314,0)),0))*(HLOOKUP($I$3,'CO2 equivalenten'!$E$4:$Q$150,(MATCH(M96,'CO2 equivalenten'!$C$4:$C$150,0)),0))</f>
        <v>754.55796000000009</v>
      </c>
      <c r="J96" s="78">
        <f>(HLOOKUP(CONCATENATE($I$3,-2),alles!$D$1:$AA$314,(MATCH(N96,alles!$C$1:$C$314,0)),0))*(HLOOKUP($I$3,'CO2 equivalenten'!$E$4:$Q$150,(MATCH(M96,'CO2 equivalenten'!$C$4:$C$150,0)),0))</f>
        <v>792.90068000000008</v>
      </c>
      <c r="K96" s="85" t="s">
        <v>135</v>
      </c>
      <c r="M96" s="39" t="s">
        <v>281</v>
      </c>
      <c r="N96" s="39" t="s">
        <v>281</v>
      </c>
    </row>
    <row r="97" spans="1:14" x14ac:dyDescent="0.15">
      <c r="A97" s="737" t="s">
        <v>169</v>
      </c>
      <c r="B97" s="738"/>
      <c r="C97" s="78">
        <f>(HLOOKUP(CONCATENATE($C$3,-1),alles!$D$1:$AA$314,(MATCH(N97,alles!$C$1:$C$314,0)),0))*(HLOOKUP($C$3,'CO2 equivalenten'!$E$4:$Q$150,(MATCH(M97,'CO2 equivalenten'!$C$4:$C$150,0)),0))</f>
        <v>114.2064</v>
      </c>
      <c r="D97" s="78">
        <f>(HLOOKUP(CONCATENATE($C$3,-2),alles!$D$1:$AA$314,(MATCH(N97,alles!$C$1:$C$314,0)),0))*(HLOOKUP($C$3,'CO2 equivalenten'!$E$4:$Q$150,(MATCH(M97,'CO2 equivalenten'!$C$4:$C$150,0)),0))</f>
        <v>72.922607999999997</v>
      </c>
      <c r="E97" s="78">
        <f>(HLOOKUP(CONCATENATE($E$3,-1),alles!$D$1:$AA$314,(MATCH(N97,alles!$C$1:$C$314,0)),0))*(HLOOKUP($E$3,'CO2 equivalenten'!$E$4:$Q$150,(MATCH(M97,'CO2 equivalenten'!$C$4:$C$150,0)),0))</f>
        <v>116.112672</v>
      </c>
      <c r="F97" s="78">
        <f>(HLOOKUP(CONCATENATE($E$3,-2),alles!$D$1:$AA$314,(MATCH(N97,alles!$C$1:$C$314,0)),0))*(HLOOKUP($E$3,'CO2 equivalenten'!$E$4:$Q$150,(MATCH(M97,'CO2 equivalenten'!$C$4:$C$150,0)),0))</f>
        <v>0</v>
      </c>
      <c r="G97" s="78">
        <f>(HLOOKUP(CONCATENATE($G$3,-1),alles!$D$1:$AA$314,(MATCH(N97,alles!$C$1:$C$314,0)),0))*(HLOOKUP($G$3,'CO2 equivalenten'!$E$4:$Q$150,(MATCH(M97,'CO2 equivalenten'!$C$4:$C$150,0)),0))</f>
        <v>71.257607999999991</v>
      </c>
      <c r="H97" s="78">
        <f>(HLOOKUP(CONCATENATE($G$3,-2),alles!$D$1:$AA$314,(MATCH(N97,alles!$C$1:$C$314,0)),0))*(HLOOKUP($G$3,'CO2 equivalenten'!$E$4:$Q$150,(MATCH(M97,'CO2 equivalenten'!$C$4:$C$150,0)),0))</f>
        <v>76.127544</v>
      </c>
      <c r="I97" s="78">
        <f>(HLOOKUP(CONCATENATE($I$3,-1),alles!$D$1:$AA$314,(MATCH(N97,alles!$C$1:$C$314,0)),0))*(HLOOKUP($I$3,'CO2 equivalenten'!$E$4:$Q$150,(MATCH(M97,'CO2 equivalenten'!$C$4:$C$150,0)),0))</f>
        <v>92.708279999999988</v>
      </c>
      <c r="J97" s="78">
        <f>(HLOOKUP(CONCATENATE($I$3,-2),alles!$D$1:$AA$314,(MATCH(N97,alles!$C$1:$C$314,0)),0))*(HLOOKUP($I$3,'CO2 equivalenten'!$E$4:$Q$150,(MATCH(M97,'CO2 equivalenten'!$C$4:$C$150,0)),0))</f>
        <v>90.269064</v>
      </c>
      <c r="K97" s="85" t="s">
        <v>135</v>
      </c>
      <c r="M97" s="39" t="s">
        <v>282</v>
      </c>
      <c r="N97" s="39" t="s">
        <v>282</v>
      </c>
    </row>
    <row r="98" spans="1:14" hidden="1" x14ac:dyDescent="0.15">
      <c r="A98" s="737" t="s">
        <v>191</v>
      </c>
      <c r="B98" s="738"/>
      <c r="C98" s="78">
        <f>(HLOOKUP(CONCATENATE($C$3,-1),alles!$D$1:$AA$314,(MATCH(N98,alles!$C$1:$C$314,0)),0))*(HLOOKUP($C$3,'CO2 equivalenten'!$E$4:$Q$150,(MATCH(M98,'CO2 equivalenten'!$C$4:$C$150,0)),0))</f>
        <v>0</v>
      </c>
      <c r="D98" s="78">
        <f>(HLOOKUP(CONCATENATE($C$3,-2),alles!$D$1:$AA$314,(MATCH(N98,alles!$C$1:$C$314,0)),0))*(HLOOKUP($C$3,'CO2 equivalenten'!$E$4:$Q$150,(MATCH(M98,'CO2 equivalenten'!$C$4:$C$150,0)),0))</f>
        <v>0</v>
      </c>
      <c r="E98" s="78">
        <f>(HLOOKUP(CONCATENATE($E$3,-1),alles!$D$1:$AA$314,(MATCH(N98,alles!$C$1:$C$314,0)),0))*(HLOOKUP($E$3,'CO2 equivalenten'!$E$4:$Q$150,(MATCH(M98,'CO2 equivalenten'!$C$4:$C$150,0)),0))</f>
        <v>0</v>
      </c>
      <c r="F98" s="78">
        <f>(HLOOKUP(CONCATENATE($E$3,-2),alles!$D$1:$AA$314,(MATCH(N98,alles!$C$1:$C$314,0)),0))*(HLOOKUP($E$3,'CO2 equivalenten'!$E$4:$Q$150,(MATCH(M98,'CO2 equivalenten'!$C$4:$C$150,0)),0))</f>
        <v>0</v>
      </c>
      <c r="G98" s="78">
        <f>(HLOOKUP(CONCATENATE($G$3,-1),alles!$D$1:$AA$314,(MATCH(N98,alles!$C$1:$C$314,0)),0))*(HLOOKUP($G$3,'CO2 equivalenten'!$E$4:$Q$150,(MATCH(M98,'CO2 equivalenten'!$C$4:$C$150,0)),0))</f>
        <v>0</v>
      </c>
      <c r="H98" s="78">
        <f>(HLOOKUP(CONCATENATE($G$3,-2),alles!$D$1:$AA$314,(MATCH(N98,alles!$C$1:$C$314,0)),0))*(HLOOKUP($G$3,'CO2 equivalenten'!$E$4:$Q$150,(MATCH(M98,'CO2 equivalenten'!$C$4:$C$150,0)),0))</f>
        <v>0</v>
      </c>
      <c r="I98" s="78">
        <f>(HLOOKUP(CONCATENATE($I$3,-1),alles!$D$1:$AA$314,(MATCH(N98,alles!$C$1:$C$314,0)),0))*(HLOOKUP($I$3,'CO2 equivalenten'!$E$4:$Q$150,(MATCH(M98,'CO2 equivalenten'!$C$4:$C$150,0)),0))</f>
        <v>0</v>
      </c>
      <c r="J98" s="78">
        <f>(HLOOKUP(CONCATENATE($I$3,-2),alles!$D$1:$AA$314,(MATCH(N98,alles!$C$1:$C$314,0)),0))*(HLOOKUP($I$3,'CO2 equivalenten'!$E$4:$Q$150,(MATCH(M98,'CO2 equivalenten'!$C$4:$C$150,0)),0))</f>
        <v>0</v>
      </c>
      <c r="K98" s="85" t="s">
        <v>135</v>
      </c>
      <c r="M98" s="39" t="s">
        <v>376</v>
      </c>
      <c r="N98" s="39" t="s">
        <v>376</v>
      </c>
    </row>
    <row r="99" spans="1:14" hidden="1" x14ac:dyDescent="0.15">
      <c r="A99" s="737" t="s">
        <v>170</v>
      </c>
      <c r="B99" s="738"/>
      <c r="C99" s="78">
        <f>(HLOOKUP(CONCATENATE($C$3,-1),alles!$D$1:$AA$314,(MATCH(N99,alles!$C$1:$C$314,0)),0))*(HLOOKUP($C$3,'CO2 equivalenten'!$E$4:$Q$150,(MATCH(M99,'CO2 equivalenten'!$C$4:$C$150,0)),0))</f>
        <v>0</v>
      </c>
      <c r="D99" s="78">
        <f>(HLOOKUP(CONCATENATE($C$3,-2),alles!$D$1:$AA$314,(MATCH(N99,alles!$C$1:$C$314,0)),0))*(HLOOKUP($C$3,'CO2 equivalenten'!$E$4:$Q$150,(MATCH(M99,'CO2 equivalenten'!$C$4:$C$150,0)),0))</f>
        <v>0</v>
      </c>
      <c r="E99" s="78">
        <f>(HLOOKUP(CONCATENATE($E$3,-1),alles!$D$1:$AA$314,(MATCH(N99,alles!$C$1:$C$314,0)),0))*(HLOOKUP($E$3,'CO2 equivalenten'!$E$4:$Q$150,(MATCH(M99,'CO2 equivalenten'!$C$4:$C$150,0)),0))</f>
        <v>0</v>
      </c>
      <c r="F99" s="78">
        <f>(HLOOKUP(CONCATENATE($E$3,-2),alles!$D$1:$AA$314,(MATCH(N99,alles!$C$1:$C$314,0)),0))*(HLOOKUP($E$3,'CO2 equivalenten'!$E$4:$Q$150,(MATCH(M99,'CO2 equivalenten'!$C$4:$C$150,0)),0))</f>
        <v>0</v>
      </c>
      <c r="G99" s="78">
        <f>(HLOOKUP(CONCATENATE($G$3,-1),alles!$D$1:$AA$314,(MATCH(N99,alles!$C$1:$C$314,0)),0))*(HLOOKUP($G$3,'CO2 equivalenten'!$E$4:$Q$150,(MATCH(M99,'CO2 equivalenten'!$C$4:$C$150,0)),0))</f>
        <v>0</v>
      </c>
      <c r="H99" s="78">
        <f>(HLOOKUP(CONCATENATE($G$3,-2),alles!$D$1:$AA$314,(MATCH(N99,alles!$C$1:$C$314,0)),0))*(HLOOKUP($G$3,'CO2 equivalenten'!$E$4:$Q$150,(MATCH(M99,'CO2 equivalenten'!$C$4:$C$150,0)),0))</f>
        <v>0</v>
      </c>
      <c r="I99" s="78">
        <f>(HLOOKUP(CONCATENATE($I$3,-1),alles!$D$1:$AA$314,(MATCH(N99,alles!$C$1:$C$314,0)),0))*(HLOOKUP($I$3,'CO2 equivalenten'!$E$4:$Q$150,(MATCH(M99,'CO2 equivalenten'!$C$4:$C$150,0)),0))</f>
        <v>0</v>
      </c>
      <c r="J99" s="78">
        <f>(HLOOKUP(CONCATENATE($I$3,-2),alles!$D$1:$AA$314,(MATCH(N99,alles!$C$1:$C$314,0)),0))*(HLOOKUP($I$3,'CO2 equivalenten'!$E$4:$Q$150,(MATCH(M99,'CO2 equivalenten'!$C$4:$C$150,0)),0))</f>
        <v>0</v>
      </c>
      <c r="K99" s="85" t="s">
        <v>135</v>
      </c>
      <c r="M99" s="39" t="s">
        <v>377</v>
      </c>
      <c r="N99" s="39" t="s">
        <v>377</v>
      </c>
    </row>
    <row r="100" spans="1:14" hidden="1" x14ac:dyDescent="0.15">
      <c r="A100" s="737" t="s">
        <v>171</v>
      </c>
      <c r="B100" s="738"/>
      <c r="C100" s="78">
        <f>(HLOOKUP(CONCATENATE($C$3,-1),alles!$D$1:$AA$314,(MATCH(N100,alles!$C$1:$C$314,0)),0))*(HLOOKUP($C$3,'CO2 equivalenten'!$E$4:$Q$150,(MATCH(M100,'CO2 equivalenten'!$C$4:$C$150,0)),0))</f>
        <v>0</v>
      </c>
      <c r="D100" s="78">
        <f>(HLOOKUP(CONCATENATE($C$3,-2),alles!$D$1:$AA$314,(MATCH(N100,alles!$C$1:$C$314,0)),0))*(HLOOKUP($C$3,'CO2 equivalenten'!$E$4:$Q$150,(MATCH(M100,'CO2 equivalenten'!$C$4:$C$150,0)),0))</f>
        <v>0</v>
      </c>
      <c r="E100" s="78">
        <f>(HLOOKUP(CONCATENATE($E$3,-1),alles!$D$1:$AA$314,(MATCH(N100,alles!$C$1:$C$314,0)),0))*(HLOOKUP($E$3,'CO2 equivalenten'!$E$4:$Q$150,(MATCH(M100,'CO2 equivalenten'!$C$4:$C$150,0)),0))</f>
        <v>0</v>
      </c>
      <c r="F100" s="78">
        <f>(HLOOKUP(CONCATENATE($E$3,-2),alles!$D$1:$AA$314,(MATCH(N100,alles!$C$1:$C$314,0)),0))*(HLOOKUP($E$3,'CO2 equivalenten'!$E$4:$Q$150,(MATCH(M100,'CO2 equivalenten'!$C$4:$C$150,0)),0))</f>
        <v>0</v>
      </c>
      <c r="G100" s="78">
        <f>(HLOOKUP(CONCATENATE($G$3,-1),alles!$D$1:$AA$314,(MATCH(N100,alles!$C$1:$C$314,0)),0))*(HLOOKUP($G$3,'CO2 equivalenten'!$E$4:$Q$150,(MATCH(M100,'CO2 equivalenten'!$C$4:$C$150,0)),0))</f>
        <v>0</v>
      </c>
      <c r="H100" s="78">
        <f>(HLOOKUP(CONCATENATE($G$3,-2),alles!$D$1:$AA$314,(MATCH(N100,alles!$C$1:$C$314,0)),0))*(HLOOKUP($G$3,'CO2 equivalenten'!$E$4:$Q$150,(MATCH(M100,'CO2 equivalenten'!$C$4:$C$150,0)),0))</f>
        <v>0</v>
      </c>
      <c r="I100" s="78">
        <f>(HLOOKUP(CONCATENATE($I$3,-1),alles!$D$1:$AA$314,(MATCH(N100,alles!$C$1:$C$314,0)),0))*(HLOOKUP($I$3,'CO2 equivalenten'!$E$4:$Q$150,(MATCH(M100,'CO2 equivalenten'!$C$4:$C$150,0)),0))</f>
        <v>0</v>
      </c>
      <c r="J100" s="78">
        <f>(HLOOKUP(CONCATENATE($I$3,-2),alles!$D$1:$AA$314,(MATCH(N100,alles!$C$1:$C$314,0)),0))*(HLOOKUP($I$3,'CO2 equivalenten'!$E$4:$Q$150,(MATCH(M100,'CO2 equivalenten'!$C$4:$C$150,0)),0))</f>
        <v>0</v>
      </c>
      <c r="K100" s="85" t="s">
        <v>135</v>
      </c>
      <c r="M100" s="39" t="s">
        <v>378</v>
      </c>
      <c r="N100" s="39" t="s">
        <v>378</v>
      </c>
    </row>
    <row r="101" spans="1:14" hidden="1" x14ac:dyDescent="0.15">
      <c r="A101" s="737" t="s">
        <v>172</v>
      </c>
      <c r="B101" s="738"/>
      <c r="C101" s="78">
        <f>(HLOOKUP(CONCATENATE($C$3,-1),alles!$D$1:$AA$314,(MATCH(N101,alles!$C$1:$C$314,0)),0))*(HLOOKUP($C$3,'CO2 equivalenten'!$E$4:$Q$150,(MATCH(M101,'CO2 equivalenten'!$C$4:$C$150,0)),0))</f>
        <v>0</v>
      </c>
      <c r="D101" s="78">
        <f>(HLOOKUP(CONCATENATE($C$3,-2),alles!$D$1:$AA$314,(MATCH(N101,alles!$C$1:$C$314,0)),0))*(HLOOKUP($C$3,'CO2 equivalenten'!$E$4:$Q$150,(MATCH(M101,'CO2 equivalenten'!$C$4:$C$150,0)),0))</f>
        <v>0</v>
      </c>
      <c r="E101" s="78">
        <f>(HLOOKUP(CONCATENATE($E$3,-1),alles!$D$1:$AA$314,(MATCH(N101,alles!$C$1:$C$314,0)),0))*(HLOOKUP($E$3,'CO2 equivalenten'!$E$4:$Q$150,(MATCH(M101,'CO2 equivalenten'!$C$4:$C$150,0)),0))</f>
        <v>0</v>
      </c>
      <c r="F101" s="78">
        <f>(HLOOKUP(CONCATENATE($E$3,-2),alles!$D$1:$AA$314,(MATCH(N101,alles!$C$1:$C$314,0)),0))*(HLOOKUP($E$3,'CO2 equivalenten'!$E$4:$Q$150,(MATCH(M101,'CO2 equivalenten'!$C$4:$C$150,0)),0))</f>
        <v>0</v>
      </c>
      <c r="G101" s="78">
        <f>(HLOOKUP(CONCATENATE($G$3,-1),alles!$D$1:$AA$314,(MATCH(N101,alles!$C$1:$C$314,0)),0))*(HLOOKUP($G$3,'CO2 equivalenten'!$E$4:$Q$150,(MATCH(M101,'CO2 equivalenten'!$C$4:$C$150,0)),0))</f>
        <v>0</v>
      </c>
      <c r="H101" s="78">
        <f>(HLOOKUP(CONCATENATE($G$3,-2),alles!$D$1:$AA$314,(MATCH(N101,alles!$C$1:$C$314,0)),0))*(HLOOKUP($G$3,'CO2 equivalenten'!$E$4:$Q$150,(MATCH(M101,'CO2 equivalenten'!$C$4:$C$150,0)),0))</f>
        <v>0</v>
      </c>
      <c r="I101" s="78">
        <f>(HLOOKUP(CONCATENATE($I$3,-1),alles!$D$1:$AA$314,(MATCH(N101,alles!$C$1:$C$314,0)),0))*(HLOOKUP($I$3,'CO2 equivalenten'!$E$4:$Q$150,(MATCH(M101,'CO2 equivalenten'!$C$4:$C$150,0)),0))</f>
        <v>0</v>
      </c>
      <c r="J101" s="78">
        <f>(HLOOKUP(CONCATENATE($I$3,-2),alles!$D$1:$AA$314,(MATCH(N101,alles!$C$1:$C$314,0)),0))*(HLOOKUP($I$3,'CO2 equivalenten'!$E$4:$Q$150,(MATCH(M101,'CO2 equivalenten'!$C$4:$C$150,0)),0))</f>
        <v>0</v>
      </c>
      <c r="K101" s="85" t="s">
        <v>135</v>
      </c>
      <c r="M101" s="39" t="s">
        <v>379</v>
      </c>
      <c r="N101" s="39" t="s">
        <v>379</v>
      </c>
    </row>
    <row r="102" spans="1:14" x14ac:dyDescent="0.15">
      <c r="A102" s="751" t="s">
        <v>173</v>
      </c>
      <c r="B102" s="752"/>
      <c r="C102" s="78">
        <f>(HLOOKUP(CONCATENATE($C$3,-1),alles!$D$1:$AA$314,(MATCH(N102,alles!$C$1:$C$314,0)),0))*(HLOOKUP($C$3,'CO2 equivalenten'!$E$4:$Q$150,(MATCH(M102,'CO2 equivalenten'!$C$4:$C$150,0)),0))</f>
        <v>0</v>
      </c>
      <c r="D102" s="460">
        <f>(HLOOKUP(CONCATENATE($C$3,-2),alles!$D$1:$AA$314,(MATCH(N102,alles!$C$1:$C$314,0)),0))*(HLOOKUP($C$3,'CO2 equivalenten'!$E$4:$Q$150,(MATCH(M102,'CO2 equivalenten'!$C$4:$C$150,0)),0))</f>
        <v>0</v>
      </c>
      <c r="E102" s="78">
        <f>(HLOOKUP(CONCATENATE($E$3,-1),alles!$D$1:$AA$314,(MATCH(N102,alles!$C$1:$C$314,0)),0))*(HLOOKUP($E$3,'CO2 equivalenten'!$E$4:$Q$150,(MATCH(M102,'CO2 equivalenten'!$C$4:$C$150,0)),0))</f>
        <v>0</v>
      </c>
      <c r="F102" s="78">
        <f>(HLOOKUP(CONCATENATE($E$3,-2),alles!$D$1:$AA$314,(MATCH(N102,alles!$C$1:$C$314,0)),0))*(HLOOKUP($E$3,'CO2 equivalenten'!$E$4:$Q$150,(MATCH(M102,'CO2 equivalenten'!$C$4:$C$150,0)),0))</f>
        <v>0</v>
      </c>
      <c r="G102" s="78">
        <f>(HLOOKUP(CONCATENATE($G$3,-1),alles!$D$1:$AA$314,(MATCH(N102,alles!$C$1:$C$314,0)),0))*(HLOOKUP($G$3,'CO2 equivalenten'!$E$4:$Q$150,(MATCH(M102,'CO2 equivalenten'!$C$4:$C$150,0)),0))</f>
        <v>0</v>
      </c>
      <c r="H102" s="78">
        <f>(HLOOKUP(CONCATENATE($G$3,-2),alles!$D$1:$AA$314,(MATCH(N102,alles!$C$1:$C$314,0)),0))*(HLOOKUP($G$3,'CO2 equivalenten'!$E$4:$Q$150,(MATCH(M102,'CO2 equivalenten'!$C$4:$C$150,0)),0))</f>
        <v>0</v>
      </c>
      <c r="I102" s="78">
        <f>(HLOOKUP(CONCATENATE($I$3,-1),alles!$D$1:$AA$314,(MATCH(N102,alles!$C$1:$C$314,0)),0))*(HLOOKUP($I$3,'CO2 equivalenten'!$E$4:$Q$150,(MATCH(M102,'CO2 equivalenten'!$C$4:$C$150,0)),0))</f>
        <v>0</v>
      </c>
      <c r="J102" s="78">
        <f>(HLOOKUP(CONCATENATE($I$3,-2),alles!$D$1:$AA$314,(MATCH(N102,alles!$C$1:$C$314,0)),0))*(HLOOKUP($I$3,'CO2 equivalenten'!$E$4:$Q$150,(MATCH(M102,'CO2 equivalenten'!$C$4:$C$150,0)),0))</f>
        <v>0</v>
      </c>
      <c r="K102" s="85" t="s">
        <v>135</v>
      </c>
      <c r="M102" s="39" t="s">
        <v>380</v>
      </c>
      <c r="N102" s="39" t="s">
        <v>380</v>
      </c>
    </row>
    <row r="103" spans="1:14" x14ac:dyDescent="0.15">
      <c r="A103" s="691"/>
      <c r="B103" s="691"/>
      <c r="C103" s="700"/>
      <c r="D103" s="700"/>
      <c r="E103" s="700"/>
      <c r="F103" s="700"/>
      <c r="G103" s="700"/>
      <c r="H103" s="700"/>
      <c r="I103" s="700"/>
      <c r="J103" s="700"/>
      <c r="K103" s="699"/>
    </row>
    <row r="104" spans="1:14" x14ac:dyDescent="0.15">
      <c r="A104" s="692"/>
      <c r="B104" s="692"/>
      <c r="C104" s="75"/>
      <c r="D104" s="75"/>
      <c r="E104" s="75"/>
      <c r="F104" s="75"/>
      <c r="G104" s="75"/>
      <c r="H104" s="75"/>
      <c r="I104" s="75"/>
      <c r="J104" s="75"/>
      <c r="K104" s="68"/>
    </row>
    <row r="105" spans="1:14" x14ac:dyDescent="0.15">
      <c r="A105" s="692"/>
      <c r="B105" s="692"/>
      <c r="C105" s="75"/>
      <c r="D105" s="75"/>
      <c r="E105" s="75"/>
      <c r="F105" s="75"/>
      <c r="G105" s="75"/>
      <c r="H105" s="75"/>
      <c r="I105" s="75"/>
      <c r="J105" s="75"/>
      <c r="K105" s="68"/>
    </row>
    <row r="106" spans="1:14" x14ac:dyDescent="0.15">
      <c r="A106" s="692"/>
      <c r="B106" s="692"/>
      <c r="C106" s="75"/>
      <c r="D106" s="75"/>
      <c r="E106" s="75"/>
      <c r="F106" s="75"/>
      <c r="G106" s="75"/>
      <c r="H106" s="75"/>
      <c r="I106" s="75"/>
      <c r="J106" s="75"/>
      <c r="K106" s="68"/>
    </row>
    <row r="107" spans="1:14" x14ac:dyDescent="0.15">
      <c r="A107" s="692"/>
      <c r="B107" s="692"/>
      <c r="C107" s="75"/>
      <c r="D107" s="75"/>
      <c r="E107" s="75"/>
      <c r="F107" s="75"/>
      <c r="G107" s="75"/>
      <c r="H107" s="75"/>
      <c r="I107" s="75"/>
      <c r="J107" s="75"/>
      <c r="K107" s="68"/>
    </row>
    <row r="108" spans="1:14" x14ac:dyDescent="0.15">
      <c r="A108" s="692"/>
      <c r="B108" s="692"/>
      <c r="C108" s="75"/>
      <c r="D108" s="75"/>
      <c r="E108" s="75"/>
      <c r="F108" s="75"/>
      <c r="G108" s="75"/>
      <c r="H108" s="75"/>
      <c r="I108" s="75"/>
      <c r="J108" s="75"/>
      <c r="K108" s="68"/>
    </row>
    <row r="109" spans="1:14" x14ac:dyDescent="0.15">
      <c r="A109" s="692"/>
      <c r="B109" s="692"/>
      <c r="C109" s="75"/>
      <c r="D109" s="75"/>
      <c r="E109" s="75"/>
      <c r="F109" s="75"/>
      <c r="G109" s="75"/>
      <c r="H109" s="75"/>
      <c r="I109" s="75"/>
      <c r="J109" s="75"/>
      <c r="K109" s="68"/>
    </row>
    <row r="110" spans="1:14" x14ac:dyDescent="0.15">
      <c r="A110" s="692"/>
      <c r="B110" s="692"/>
      <c r="C110" s="75"/>
      <c r="D110" s="75"/>
      <c r="E110" s="75"/>
      <c r="F110" s="75"/>
      <c r="G110" s="75"/>
      <c r="H110" s="75"/>
      <c r="I110" s="75"/>
      <c r="J110" s="75"/>
      <c r="K110" s="68"/>
    </row>
    <row r="111" spans="1:14" x14ac:dyDescent="0.15">
      <c r="A111" s="692"/>
      <c r="B111" s="692"/>
      <c r="C111" s="75"/>
      <c r="D111" s="75"/>
      <c r="E111" s="75"/>
      <c r="F111" s="75"/>
      <c r="G111" s="75"/>
      <c r="H111" s="75"/>
      <c r="I111" s="75"/>
      <c r="J111" s="75"/>
      <c r="K111" s="68"/>
    </row>
    <row r="112" spans="1:14" x14ac:dyDescent="0.15">
      <c r="A112" s="692"/>
      <c r="B112" s="692"/>
      <c r="C112" s="75"/>
      <c r="D112" s="75"/>
      <c r="E112" s="75"/>
      <c r="F112" s="75"/>
      <c r="G112" s="75"/>
      <c r="H112" s="75"/>
      <c r="I112" s="75"/>
      <c r="J112" s="75"/>
      <c r="K112" s="68"/>
    </row>
    <row r="113" spans="1:14" x14ac:dyDescent="0.15">
      <c r="A113" s="692"/>
      <c r="B113" s="692"/>
      <c r="C113" s="75"/>
      <c r="D113" s="75"/>
      <c r="E113" s="75"/>
      <c r="F113" s="75"/>
      <c r="G113" s="75"/>
      <c r="H113" s="75"/>
      <c r="I113" s="75"/>
      <c r="J113" s="75"/>
      <c r="K113" s="68"/>
    </row>
    <row r="114" spans="1:14" x14ac:dyDescent="0.15">
      <c r="A114" s="692"/>
      <c r="B114" s="692"/>
      <c r="C114" s="75"/>
      <c r="D114" s="75"/>
      <c r="E114" s="75"/>
      <c r="F114" s="75"/>
      <c r="G114" s="75"/>
      <c r="H114" s="75"/>
      <c r="I114" s="75"/>
      <c r="J114" s="75"/>
      <c r="K114" s="68"/>
    </row>
    <row r="115" spans="1:14" ht="13" customHeight="1" x14ac:dyDescent="0.15">
      <c r="A115" s="726" t="s">
        <v>59</v>
      </c>
      <c r="B115" s="402"/>
      <c r="C115" s="728">
        <f>C3</f>
        <v>2021</v>
      </c>
      <c r="D115" s="729"/>
      <c r="E115" s="730">
        <f>E3</f>
        <v>2023</v>
      </c>
      <c r="F115" s="731"/>
      <c r="G115" s="730">
        <f>G3</f>
        <v>2024</v>
      </c>
      <c r="H115" s="730"/>
      <c r="I115" s="732">
        <f>I3</f>
        <v>2025</v>
      </c>
      <c r="J115" s="731"/>
      <c r="K115" s="112"/>
    </row>
    <row r="116" spans="1:14" ht="12" thickBot="1" x14ac:dyDescent="0.2">
      <c r="A116" s="727"/>
      <c r="B116" s="403"/>
      <c r="C116" s="83" t="s">
        <v>18</v>
      </c>
      <c r="D116" s="84" t="s">
        <v>19</v>
      </c>
      <c r="E116" s="113" t="s">
        <v>18</v>
      </c>
      <c r="F116" s="114" t="s">
        <v>19</v>
      </c>
      <c r="G116" s="113" t="s">
        <v>18</v>
      </c>
      <c r="H116" s="114" t="s">
        <v>19</v>
      </c>
      <c r="I116" s="115" t="s">
        <v>18</v>
      </c>
      <c r="J116" s="114" t="s">
        <v>19</v>
      </c>
      <c r="K116" s="116" t="s">
        <v>20</v>
      </c>
    </row>
    <row r="117" spans="1:14" ht="11" customHeight="1" x14ac:dyDescent="0.15">
      <c r="A117" s="530" t="s">
        <v>175</v>
      </c>
      <c r="B117" s="133" t="s">
        <v>31</v>
      </c>
      <c r="C117" s="555">
        <f>C118+C123+C132</f>
        <v>21.042449999999999</v>
      </c>
      <c r="D117" s="556">
        <f t="shared" ref="D117:J117" si="28">D118+D123+D132</f>
        <v>21.062340000000003</v>
      </c>
      <c r="E117" s="556">
        <f t="shared" si="28"/>
        <v>24.275116500000003</v>
      </c>
      <c r="F117" s="556">
        <f t="shared" si="28"/>
        <v>27.829411499999999</v>
      </c>
      <c r="G117" s="556">
        <f t="shared" si="28"/>
        <v>27.130739999999999</v>
      </c>
      <c r="H117" s="556">
        <f t="shared" si="28"/>
        <v>30.999381920000001</v>
      </c>
      <c r="I117" s="556">
        <f t="shared" si="28"/>
        <v>32.713912500000006</v>
      </c>
      <c r="J117" s="556">
        <f t="shared" si="28"/>
        <v>36.76185375</v>
      </c>
      <c r="K117" s="133" t="s">
        <v>136</v>
      </c>
    </row>
    <row r="118" spans="1:14" ht="12" x14ac:dyDescent="0.15">
      <c r="A118" s="531" t="s">
        <v>5</v>
      </c>
      <c r="B118" s="532" t="s">
        <v>31</v>
      </c>
      <c r="C118" s="557">
        <f>SUM(C119:C122)</f>
        <v>0</v>
      </c>
      <c r="D118" s="558">
        <f t="shared" ref="D118:J118" si="29">SUM(D119:D122)</f>
        <v>0</v>
      </c>
      <c r="E118" s="558">
        <f t="shared" si="29"/>
        <v>0</v>
      </c>
      <c r="F118" s="558">
        <f t="shared" si="29"/>
        <v>0</v>
      </c>
      <c r="G118" s="558">
        <f t="shared" si="29"/>
        <v>0</v>
      </c>
      <c r="H118" s="558">
        <f t="shared" si="29"/>
        <v>0</v>
      </c>
      <c r="I118" s="558">
        <f t="shared" si="29"/>
        <v>0</v>
      </c>
      <c r="J118" s="558">
        <f t="shared" si="29"/>
        <v>0</v>
      </c>
      <c r="K118" s="532" t="s">
        <v>463</v>
      </c>
    </row>
    <row r="119" spans="1:14" x14ac:dyDescent="0.15">
      <c r="A119" s="74" t="s">
        <v>56</v>
      </c>
      <c r="B119" s="85" t="s">
        <v>47</v>
      </c>
      <c r="C119" s="78">
        <f>(HLOOKUP(CONCATENATE($C$3,-1),alles!$D$1:$AA$314,(MATCH(N119,alles!$C$1:$C$314,0)),0))*(HLOOKUP($C$3,'CO2 equivalenten'!$E$4:$Q$150,(MATCH(M119,'CO2 equivalenten'!$C$4:$C$150,0)),0))</f>
        <v>0</v>
      </c>
      <c r="D119" s="78">
        <f>(HLOOKUP(CONCATENATE($C$3,-2),alles!$D$1:$AA$314,(MATCH(N119,alles!$C$1:$C$314,0)),0))*(HLOOKUP($C$3,'CO2 equivalenten'!$E$4:$Q$150,(MATCH(M119,'CO2 equivalenten'!$C$4:$C$150,0)),0))</f>
        <v>0</v>
      </c>
      <c r="E119" s="78">
        <f>(HLOOKUP(CONCATENATE($E$3,-1),alles!$D$1:$AA$314,(MATCH(N119,alles!$C$1:$C$314,0)),0))*(HLOOKUP($E$3,'CO2 equivalenten'!$E$4:$Q$150,(MATCH(M119,'CO2 equivalenten'!$C$4:$C$150,0)),0))</f>
        <v>0</v>
      </c>
      <c r="F119" s="78">
        <f>(HLOOKUP(CONCATENATE($E$3,-2),alles!$D$1:$AA$314,(MATCH(N119,alles!$C$1:$C$314,0)),0))*(HLOOKUP($E$3,'CO2 equivalenten'!$E$4:$Q$150,(MATCH(M119,'CO2 equivalenten'!$C$4:$C$150,0)),0))</f>
        <v>0</v>
      </c>
      <c r="G119" s="78">
        <f>(HLOOKUP(CONCATENATE($G$3,-1),alles!$D$1:$AA$314,(MATCH(N119,alles!$C$1:$C$314,0)),0))*(HLOOKUP($G$3,'CO2 equivalenten'!$E$4:$Q$150,(MATCH(M119,'CO2 equivalenten'!$C$4:$C$150,0)),0))</f>
        <v>0</v>
      </c>
      <c r="H119" s="78">
        <f>(HLOOKUP(CONCATENATE($G$3,-2),alles!$D$1:$AA$314,(MATCH(N119,alles!$C$1:$C$314,0)),0))*(HLOOKUP($G$3,'CO2 equivalenten'!$E$4:$Q$150,(MATCH(M119,'CO2 equivalenten'!$C$4:$C$150,0)),0))</f>
        <v>0</v>
      </c>
      <c r="I119" s="78">
        <f>(HLOOKUP(CONCATENATE($I$3,-1),alles!$D$1:$AA$314,(MATCH(N119,alles!$C$1:$C$314,0)),0))*(HLOOKUP($I$3,'CO2 equivalenten'!$E$4:$Q$150,(MATCH(M119,'CO2 equivalenten'!$C$4:$C$150,0)),0))</f>
        <v>0</v>
      </c>
      <c r="J119" s="78">
        <f>(HLOOKUP(CONCATENATE($I$3,-2),alles!$D$1:$AA$314,(MATCH(N119,alles!$C$1:$C$314,0)),0))*(HLOOKUP($I$3,'CO2 equivalenten'!$E$4:$Q$150,(MATCH(M119,'CO2 equivalenten'!$C$4:$C$150,0)),0))</f>
        <v>0</v>
      </c>
      <c r="K119" s="82" t="s">
        <v>135</v>
      </c>
      <c r="M119" s="39" t="s">
        <v>340</v>
      </c>
      <c r="N119" s="39" t="s">
        <v>340</v>
      </c>
    </row>
    <row r="120" spans="1:14" x14ac:dyDescent="0.15">
      <c r="A120" s="74"/>
      <c r="B120" s="85" t="s">
        <v>15</v>
      </c>
      <c r="C120" s="78">
        <f>(HLOOKUP(CONCATENATE($C$3,-1),alles!$D$1:$AA$314,(MATCH(N120,alles!$C$1:$C$314,0)),0))*(HLOOKUP($C$3,'CO2 equivalenten'!$E$4:$Q$150,(MATCH(M120,'CO2 equivalenten'!$C$4:$C$150,0)),0))</f>
        <v>0</v>
      </c>
      <c r="D120" s="78">
        <f>(HLOOKUP(CONCATENATE($C$3,-2),alles!$D$1:$AA$314,(MATCH(N120,alles!$C$1:$C$314,0)),0))*(HLOOKUP($C$3,'CO2 equivalenten'!$E$4:$Q$150,(MATCH(M120,'CO2 equivalenten'!$C$4:$C$150,0)),0))</f>
        <v>0</v>
      </c>
      <c r="E120" s="78">
        <f>(HLOOKUP(CONCATENATE($E$3,-1),alles!$D$1:$AA$314,(MATCH(N120,alles!$C$1:$C$314,0)),0))*(HLOOKUP($E$3,'CO2 equivalenten'!$E$4:$Q$150,(MATCH(M120,'CO2 equivalenten'!$C$4:$C$150,0)),0))</f>
        <v>0</v>
      </c>
      <c r="F120" s="78">
        <f>(HLOOKUP(CONCATENATE($E$3,-2),alles!$D$1:$AA$314,(MATCH(N120,alles!$C$1:$C$314,0)),0))*(HLOOKUP($E$3,'CO2 equivalenten'!$E$4:$Q$150,(MATCH(M120,'CO2 equivalenten'!$C$4:$C$150,0)),0))</f>
        <v>0</v>
      </c>
      <c r="G120" s="78">
        <f>(HLOOKUP(CONCATENATE($G$3,-1),alles!$D$1:$AA$314,(MATCH(N120,alles!$C$1:$C$314,0)),0))*(HLOOKUP($G$3,'CO2 equivalenten'!$E$4:$Q$150,(MATCH(M120,'CO2 equivalenten'!$C$4:$C$150,0)),0))</f>
        <v>0</v>
      </c>
      <c r="H120" s="78">
        <f>(HLOOKUP(CONCATENATE($G$3,-2),alles!$D$1:$AA$314,(MATCH(N120,alles!$C$1:$C$314,0)),0))*(HLOOKUP($G$3,'CO2 equivalenten'!$E$4:$Q$150,(MATCH(M120,'CO2 equivalenten'!$C$4:$C$150,0)),0))</f>
        <v>0</v>
      </c>
      <c r="I120" s="78">
        <f>(HLOOKUP(CONCATENATE($I$3,-1),alles!$D$1:$AA$314,(MATCH(N120,alles!$C$1:$C$314,0)),0))*(HLOOKUP($I$3,'CO2 equivalenten'!$E$4:$Q$150,(MATCH(M120,'CO2 equivalenten'!$C$4:$C$150,0)),0))</f>
        <v>0</v>
      </c>
      <c r="J120" s="78">
        <f>(HLOOKUP(CONCATENATE($I$3,-2),alles!$D$1:$AA$314,(MATCH(N120,alles!$C$1:$C$314,0)),0))*(HLOOKUP($I$3,'CO2 equivalenten'!$E$4:$Q$150,(MATCH(M120,'CO2 equivalenten'!$C$4:$C$150,0)),0))</f>
        <v>0</v>
      </c>
      <c r="K120" s="85" t="s">
        <v>135</v>
      </c>
      <c r="M120" s="39" t="s">
        <v>341</v>
      </c>
      <c r="N120" s="39" t="s">
        <v>341</v>
      </c>
    </row>
    <row r="121" spans="1:14" x14ac:dyDescent="0.15">
      <c r="A121" s="74"/>
      <c r="B121" s="85" t="s">
        <v>14</v>
      </c>
      <c r="C121" s="78">
        <f>(HLOOKUP(CONCATENATE($C$3,-1),alles!$D$1:$AA$314,(MATCH(N121,alles!$C$1:$C$314,0)),0))*(HLOOKUP($C$3,'CO2 equivalenten'!$E$4:$Q$150,(MATCH(M121,'CO2 equivalenten'!$C$4:$C$150,0)),0))</f>
        <v>0</v>
      </c>
      <c r="D121" s="78">
        <f>(HLOOKUP(CONCATENATE($C$3,-2),alles!$D$1:$AA$314,(MATCH(N121,alles!$C$1:$C$314,0)),0))*(HLOOKUP($C$3,'CO2 equivalenten'!$E$4:$Q$150,(MATCH(M121,'CO2 equivalenten'!$C$4:$C$150,0)),0))</f>
        <v>0</v>
      </c>
      <c r="E121" s="78">
        <f>(HLOOKUP(CONCATENATE($E$3,-1),alles!$D$1:$AA$314,(MATCH(N121,alles!$C$1:$C$314,0)),0))*(HLOOKUP($E$3,'CO2 equivalenten'!$E$4:$Q$150,(MATCH(M121,'CO2 equivalenten'!$C$4:$C$150,0)),0))</f>
        <v>0</v>
      </c>
      <c r="F121" s="78">
        <f>(HLOOKUP(CONCATENATE($E$3,-2),alles!$D$1:$AA$314,(MATCH(N121,alles!$C$1:$C$314,0)),0))*(HLOOKUP($E$3,'CO2 equivalenten'!$E$4:$Q$150,(MATCH(M121,'CO2 equivalenten'!$C$4:$C$150,0)),0))</f>
        <v>0</v>
      </c>
      <c r="G121" s="78">
        <f>(HLOOKUP(CONCATENATE($G$3,-1),alles!$D$1:$AA$314,(MATCH(N121,alles!$C$1:$C$314,0)),0))*(HLOOKUP($G$3,'CO2 equivalenten'!$E$4:$Q$150,(MATCH(M121,'CO2 equivalenten'!$C$4:$C$150,0)),0))</f>
        <v>0</v>
      </c>
      <c r="H121" s="78">
        <f>(HLOOKUP(CONCATENATE($G$3,-2),alles!$D$1:$AA$314,(MATCH(N121,alles!$C$1:$C$314,0)),0))*(HLOOKUP($G$3,'CO2 equivalenten'!$E$4:$Q$150,(MATCH(M121,'CO2 equivalenten'!$C$4:$C$150,0)),0))</f>
        <v>0</v>
      </c>
      <c r="I121" s="78">
        <f>(HLOOKUP(CONCATENATE($I$3,-1),alles!$D$1:$AA$314,(MATCH(N121,alles!$C$1:$C$314,0)),0))*(HLOOKUP($I$3,'CO2 equivalenten'!$E$4:$Q$150,(MATCH(M121,'CO2 equivalenten'!$C$4:$C$150,0)),0))</f>
        <v>0</v>
      </c>
      <c r="J121" s="78">
        <f>(HLOOKUP(CONCATENATE($I$3,-2),alles!$D$1:$AA$314,(MATCH(N121,alles!$C$1:$C$314,0)),0))*(HLOOKUP($I$3,'CO2 equivalenten'!$E$4:$Q$150,(MATCH(M121,'CO2 equivalenten'!$C$4:$C$150,0)),0))</f>
        <v>0</v>
      </c>
      <c r="K121" s="85" t="s">
        <v>135</v>
      </c>
      <c r="M121" s="39" t="s">
        <v>342</v>
      </c>
      <c r="N121" s="39" t="s">
        <v>342</v>
      </c>
    </row>
    <row r="122" spans="1:14" x14ac:dyDescent="0.15">
      <c r="A122" s="74"/>
      <c r="B122" s="85" t="s">
        <v>16</v>
      </c>
      <c r="C122" s="78">
        <f>(HLOOKUP(CONCATENATE($C$3,-1),alles!$D$1:$AA$314,(MATCH(N122,alles!$C$1:$C$314,0)),0))*(HLOOKUP($C$3,'CO2 equivalenten'!$E$4:$Q$150,(MATCH(M122,'CO2 equivalenten'!$C$4:$C$150,0)),0))</f>
        <v>0</v>
      </c>
      <c r="D122" s="78">
        <f>(HLOOKUP(CONCATENATE($C$3,-2),alles!$D$1:$AA$314,(MATCH(N122,alles!$C$1:$C$314,0)),0))*(HLOOKUP($C$3,'CO2 equivalenten'!$E$4:$Q$150,(MATCH(M122,'CO2 equivalenten'!$C$4:$C$150,0)),0))</f>
        <v>0</v>
      </c>
      <c r="E122" s="78">
        <f>(HLOOKUP(CONCATENATE($E$3,-1),alles!$D$1:$AA$314,(MATCH(N122,alles!$C$1:$C$314,0)),0))*(HLOOKUP($E$3,'CO2 equivalenten'!$E$4:$Q$150,(MATCH(M122,'CO2 equivalenten'!$C$4:$C$150,0)),0))</f>
        <v>0</v>
      </c>
      <c r="F122" s="78">
        <f>(HLOOKUP(CONCATENATE($E$3,-2),alles!$D$1:$AA$314,(MATCH(N122,alles!$C$1:$C$314,0)),0))*(HLOOKUP($E$3,'CO2 equivalenten'!$E$4:$Q$150,(MATCH(M122,'CO2 equivalenten'!$C$4:$C$150,0)),0))</f>
        <v>0</v>
      </c>
      <c r="G122" s="78">
        <f>(HLOOKUP(CONCATENATE($G$3,-1),alles!$D$1:$AA$314,(MATCH(N122,alles!$C$1:$C$314,0)),0))*(HLOOKUP($G$3,'CO2 equivalenten'!$E$4:$Q$150,(MATCH(M122,'CO2 equivalenten'!$C$4:$C$150,0)),0))</f>
        <v>0</v>
      </c>
      <c r="H122" s="78">
        <f>(HLOOKUP(CONCATENATE($G$3,-2),alles!$D$1:$AA$314,(MATCH(N122,alles!$C$1:$C$314,0)),0))*(HLOOKUP($G$3,'CO2 equivalenten'!$E$4:$Q$150,(MATCH(M122,'CO2 equivalenten'!$C$4:$C$150,0)),0))</f>
        <v>0</v>
      </c>
      <c r="I122" s="78">
        <f>(HLOOKUP(CONCATENATE($I$3,-1),alles!$D$1:$AA$314,(MATCH(N122,alles!$C$1:$C$314,0)),0))*(HLOOKUP($I$3,'CO2 equivalenten'!$E$4:$Q$150,(MATCH(M122,'CO2 equivalenten'!$C$4:$C$150,0)),0))</f>
        <v>0</v>
      </c>
      <c r="J122" s="78">
        <f>(HLOOKUP(CONCATENATE($I$3,-2),alles!$D$1:$AA$314,(MATCH(N122,alles!$C$1:$C$314,0)),0))*(HLOOKUP($I$3,'CO2 equivalenten'!$E$4:$Q$150,(MATCH(M122,'CO2 equivalenten'!$C$4:$C$150,0)),0))</f>
        <v>0</v>
      </c>
      <c r="K122" s="85" t="s">
        <v>135</v>
      </c>
      <c r="M122" s="39" t="s">
        <v>343</v>
      </c>
      <c r="N122" s="39" t="s">
        <v>343</v>
      </c>
    </row>
    <row r="123" spans="1:14" ht="12" x14ac:dyDescent="0.15">
      <c r="A123" s="531" t="s">
        <v>175</v>
      </c>
      <c r="B123" s="532" t="s">
        <v>31</v>
      </c>
      <c r="C123" s="557">
        <f>SUM(C124:C131)</f>
        <v>21.042449999999999</v>
      </c>
      <c r="D123" s="559">
        <f t="shared" ref="D123:J123" si="30">SUM(D124:D131)</f>
        <v>21.062340000000003</v>
      </c>
      <c r="E123" s="558">
        <f t="shared" si="30"/>
        <v>24.275116500000003</v>
      </c>
      <c r="F123" s="559">
        <f t="shared" si="30"/>
        <v>27.829411499999999</v>
      </c>
      <c r="G123" s="558">
        <f t="shared" si="30"/>
        <v>27.130739999999999</v>
      </c>
      <c r="H123" s="559">
        <f t="shared" si="30"/>
        <v>30.999381920000001</v>
      </c>
      <c r="I123" s="558">
        <f t="shared" si="30"/>
        <v>32.713912500000006</v>
      </c>
      <c r="J123" s="559">
        <f t="shared" si="30"/>
        <v>36.76185375</v>
      </c>
      <c r="K123" s="532" t="s">
        <v>463</v>
      </c>
    </row>
    <row r="124" spans="1:14" x14ac:dyDescent="0.15">
      <c r="A124" s="74" t="s">
        <v>553</v>
      </c>
      <c r="B124" s="653" t="s">
        <v>47</v>
      </c>
      <c r="C124" s="78">
        <f>(HLOOKUP(CONCATENATE($C$3,-1),alles!$D$1:$AA$314,(MATCH(N124,alles!$C$1:$C$314,0)),0))*(HLOOKUP($C$3,'CO2 equivalenten'!$E$4:$Q$150,(MATCH(M124,'CO2 equivalenten'!$C$4:$C$150,0)),0))</f>
        <v>18.18609</v>
      </c>
      <c r="D124" s="78">
        <f>(HLOOKUP(CONCATENATE($C$3,-2),alles!$D$1:$AA$314,(MATCH(N124,alles!$C$1:$C$314,0)),0))*(HLOOKUP($C$3,'CO2 equivalenten'!$E$4:$Q$150,(MATCH(M124,'CO2 equivalenten'!$C$4:$C$150,0)),0))</f>
        <v>18.886140000000001</v>
      </c>
      <c r="E124" s="78">
        <f>(HLOOKUP(CONCATENATE($E$3,-1),alles!$D$1:$AA$314,(MATCH(N124,alles!$C$1:$C$314,0)),0))*(HLOOKUP($E$3,'CO2 equivalenten'!$E$4:$Q$150,(MATCH(M124,'CO2 equivalenten'!$C$4:$C$150,0)),0))</f>
        <v>0</v>
      </c>
      <c r="F124" s="78">
        <f>(HLOOKUP(CONCATENATE($E$3,-2),alles!$D$1:$AA$314,(MATCH(N124,alles!$C$1:$C$314,0)),0))*(HLOOKUP($E$3,'CO2 equivalenten'!$E$4:$Q$150,(MATCH(M124,'CO2 equivalenten'!$C$4:$C$150,0)),0))</f>
        <v>0</v>
      </c>
      <c r="G124" s="78">
        <f>(HLOOKUP(CONCATENATE($G$3,-1),alles!$D$1:$AA$314,(MATCH(N124,alles!$C$1:$C$314,0)),0))*(HLOOKUP($G$3,'CO2 equivalenten'!$E$4:$Q$150,(MATCH(M124,'CO2 equivalenten'!$C$4:$C$150,0)),0))</f>
        <v>0</v>
      </c>
      <c r="H124" s="78">
        <f>(HLOOKUP(CONCATENATE($G$3,-2),alles!$D$1:$AA$314,(MATCH(N124,alles!$C$1:$C$314,0)),0))*(HLOOKUP($G$3,'CO2 equivalenten'!$E$4:$Q$150,(MATCH(M124,'CO2 equivalenten'!$C$4:$C$150,0)),0))</f>
        <v>0</v>
      </c>
      <c r="I124" s="78">
        <f>(HLOOKUP(CONCATENATE($I$3,-1),alles!$D$1:$AA$314,(MATCH(N124,alles!$C$1:$C$314,0)),0))*(HLOOKUP($I$3,'CO2 equivalenten'!$E$4:$Q$150,(MATCH(M124,'CO2 equivalenten'!$C$4:$C$150,0)),0))</f>
        <v>0</v>
      </c>
      <c r="J124" s="78">
        <f>(HLOOKUP(CONCATENATE($I$3,-2),alles!$D$1:$AA$314,(MATCH(N124,alles!$C$1:$C$314,0)),0))*(HLOOKUP($I$3,'CO2 equivalenten'!$E$4:$Q$150,(MATCH(M124,'CO2 equivalenten'!$C$4:$C$150,0)),0))</f>
        <v>0</v>
      </c>
      <c r="K124" s="85" t="s">
        <v>135</v>
      </c>
      <c r="M124" s="39" t="s">
        <v>310</v>
      </c>
      <c r="N124" s="39" t="s">
        <v>555</v>
      </c>
    </row>
    <row r="125" spans="1:14" x14ac:dyDescent="0.15">
      <c r="A125" s="74" t="s">
        <v>554</v>
      </c>
      <c r="B125" s="654" t="s">
        <v>47</v>
      </c>
      <c r="C125" s="78">
        <f>(HLOOKUP(CONCATENATE($C$3,-1),alles!$D$1:$AA$314,(MATCH(N125,alles!$C$1:$C$314,0)),0))*(HLOOKUP($C$3,'CO2 equivalenten'!$E$4:$Q$150,(MATCH(M125,'CO2 equivalenten'!$C$4:$C$150,0)),0))</f>
        <v>2.85636</v>
      </c>
      <c r="D125" s="78">
        <f>(HLOOKUP(CONCATENATE($C$3,-2),alles!$D$1:$AA$314,(MATCH(N125,alles!$C$1:$C$314,0)),0))*(HLOOKUP($C$3,'CO2 equivalenten'!$E$4:$Q$150,(MATCH(M125,'CO2 equivalenten'!$C$4:$C$150,0)),0))</f>
        <v>2.1762000000000001</v>
      </c>
      <c r="E125" s="78">
        <f>(HLOOKUP(CONCATENATE($E$3,-1),alles!$D$1:$AA$314,(MATCH(N125,alles!$C$1:$C$314,0)),0))*(HLOOKUP($E$3,'CO2 equivalenten'!$E$4:$Q$150,(MATCH(M125,'CO2 equivalenten'!$C$4:$C$150,0)),0))</f>
        <v>3.2756924999999999</v>
      </c>
      <c r="F125" s="78">
        <f>(HLOOKUP(CONCATENATE($E$3,-2),alles!$D$1:$AA$314,(MATCH(N125,alles!$C$1:$C$314,0)),0))*(HLOOKUP($E$3,'CO2 equivalenten'!$E$4:$Q$150,(MATCH(M125,'CO2 equivalenten'!$C$4:$C$150,0)),0))</f>
        <v>3.9039074999999999</v>
      </c>
      <c r="G125" s="78">
        <f>(HLOOKUP(CONCATENATE($G$3,-1),alles!$D$1:$AA$314,(MATCH(N125,alles!$C$1:$C$314,0)),0))*(HLOOKUP($G$3,'CO2 equivalenten'!$E$4:$Q$150,(MATCH(M125,'CO2 equivalenten'!$C$4:$C$150,0)),0))</f>
        <v>4.6667399999999999</v>
      </c>
      <c r="H125" s="78">
        <f>(HLOOKUP(CONCATENATE($G$3,-2),alles!$D$1:$AA$314,(MATCH(N125,alles!$C$1:$C$314,0)),0))*(HLOOKUP($G$3,'CO2 equivalenten'!$E$4:$Q$150,(MATCH(M125,'CO2 equivalenten'!$C$4:$C$150,0)),0))</f>
        <v>5.1453800000000003</v>
      </c>
      <c r="I125" s="78">
        <f>(HLOOKUP(CONCATENATE($I$3,-1),alles!$D$1:$AA$314,(MATCH(N125,alles!$C$1:$C$314,0)),0))*(HLOOKUP($I$3,'CO2 equivalenten'!$E$4:$Q$150,(MATCH(M125,'CO2 equivalenten'!$C$4:$C$150,0)),0))</f>
        <v>5.7729750000000006</v>
      </c>
      <c r="J125" s="78">
        <f>(HLOOKUP(CONCATENATE($I$3,-2),alles!$D$1:$AA$314,(MATCH(N125,alles!$C$1:$C$314,0)),0))*(HLOOKUP($I$3,'CO2 equivalenten'!$E$4:$Q$150,(MATCH(M125,'CO2 equivalenten'!$C$4:$C$150,0)),0))</f>
        <v>7.0163850000000005</v>
      </c>
      <c r="K125" s="85" t="s">
        <v>135</v>
      </c>
      <c r="M125" s="39" t="s">
        <v>310</v>
      </c>
      <c r="N125" s="39" t="s">
        <v>556</v>
      </c>
    </row>
    <row r="126" spans="1:14" x14ac:dyDescent="0.15">
      <c r="A126" s="74"/>
      <c r="B126" s="654" t="s">
        <v>15</v>
      </c>
      <c r="C126" s="78">
        <f>(HLOOKUP(CONCATENATE($C$3,-1),alles!$D$1:$AA$314,(MATCH(N126,alles!$C$1:$C$314,0)),0))*(HLOOKUP($C$3,'CO2 equivalenten'!$E$4:$Q$150,(MATCH(M126,'CO2 equivalenten'!$C$4:$C$150,0)),0))</f>
        <v>0</v>
      </c>
      <c r="D126" s="78">
        <f>(HLOOKUP(CONCATENATE($C$3,-2),alles!$D$1:$AA$314,(MATCH(N126,alles!$C$1:$C$314,0)),0))*(HLOOKUP($C$3,'CO2 equivalenten'!$E$4:$Q$150,(MATCH(M126,'CO2 equivalenten'!$C$4:$C$150,0)),0))</f>
        <v>0</v>
      </c>
      <c r="E126" s="78">
        <f>(HLOOKUP(CONCATENATE($E$3,-1),alles!$D$1:$AA$314,(MATCH(N126,alles!$C$1:$C$314,0)),0))*(HLOOKUP($E$3,'CO2 equivalenten'!$E$4:$Q$150,(MATCH(M126,'CO2 equivalenten'!$C$4:$C$150,0)),0))</f>
        <v>11.155944</v>
      </c>
      <c r="F126" s="78">
        <f>(HLOOKUP(CONCATENATE($E$3,-2),alles!$D$1:$AA$314,(MATCH(N126,alles!$C$1:$C$314,0)),0))*(HLOOKUP($E$3,'CO2 equivalenten'!$E$4:$Q$150,(MATCH(M126,'CO2 equivalenten'!$C$4:$C$150,0)),0))</f>
        <v>12.710424</v>
      </c>
      <c r="G126" s="78">
        <f>(HLOOKUP(CONCATENATE($G$3,-1),alles!$D$1:$AA$314,(MATCH(N126,alles!$C$1:$C$314,0)),0))*(HLOOKUP($G$3,'CO2 equivalenten'!$E$4:$Q$150,(MATCH(M126,'CO2 equivalenten'!$C$4:$C$150,0)),0))</f>
        <v>11.933999999999999</v>
      </c>
      <c r="H126" s="78">
        <f>(HLOOKUP(CONCATENATE($G$3,-2),alles!$D$1:$AA$314,(MATCH(N126,alles!$C$1:$C$314,0)),0))*(HLOOKUP($G$3,'CO2 equivalenten'!$E$4:$Q$150,(MATCH(M126,'CO2 equivalenten'!$C$4:$C$150,0)),0))</f>
        <v>13.73493852</v>
      </c>
      <c r="I126" s="78">
        <f>(HLOOKUP(CONCATENATE($I$3,-1),alles!$D$1:$AA$314,(MATCH(N126,alles!$C$1:$C$314,0)),0))*(HLOOKUP($I$3,'CO2 equivalenten'!$E$4:$Q$150,(MATCH(M126,'CO2 equivalenten'!$C$4:$C$150,0)),0))</f>
        <v>14.009287499999999</v>
      </c>
      <c r="J126" s="78">
        <f>(HLOOKUP(CONCATENATE($I$3,-2),alles!$D$1:$AA$314,(MATCH(N126,alles!$C$1:$C$314,0)),0))*(HLOOKUP($I$3,'CO2 equivalenten'!$E$4:$Q$150,(MATCH(M126,'CO2 equivalenten'!$C$4:$C$150,0)),0))</f>
        <v>15.467643750000001</v>
      </c>
      <c r="K126" s="85" t="s">
        <v>135</v>
      </c>
      <c r="M126" s="39" t="s">
        <v>331</v>
      </c>
      <c r="N126" s="39" t="s">
        <v>331</v>
      </c>
    </row>
    <row r="127" spans="1:14" x14ac:dyDescent="0.15">
      <c r="A127" s="74"/>
      <c r="B127" s="654" t="s">
        <v>14</v>
      </c>
      <c r="C127" s="78">
        <f>(HLOOKUP(CONCATENATE($C$3,-1),alles!$D$1:$AA$314,(MATCH(N127,alles!$C$1:$C$314,0)),0))*(HLOOKUP($C$3,'CO2 equivalenten'!$E$4:$Q$150,(MATCH(M127,'CO2 equivalenten'!$C$4:$C$150,0)),0))</f>
        <v>0</v>
      </c>
      <c r="D127" s="78">
        <f>(HLOOKUP(CONCATENATE($C$3,-2),alles!$D$1:$AA$314,(MATCH(N127,alles!$C$1:$C$314,0)),0))*(HLOOKUP($C$3,'CO2 equivalenten'!$E$4:$Q$150,(MATCH(M127,'CO2 equivalenten'!$C$4:$C$150,0)),0))</f>
        <v>0</v>
      </c>
      <c r="E127" s="78">
        <f>(HLOOKUP(CONCATENATE($E$3,-1),alles!$D$1:$AA$314,(MATCH(N127,alles!$C$1:$C$314,0)),0))*(HLOOKUP($E$3,'CO2 equivalenten'!$E$4:$Q$150,(MATCH(M127,'CO2 equivalenten'!$C$4:$C$150,0)),0))</f>
        <v>9.8434800000000013</v>
      </c>
      <c r="F127" s="78">
        <f>(HLOOKUP(CONCATENATE($E$3,-2),alles!$D$1:$AA$314,(MATCH(N127,alles!$C$1:$C$314,0)),0))*(HLOOKUP($E$3,'CO2 equivalenten'!$E$4:$Q$150,(MATCH(M127,'CO2 equivalenten'!$C$4:$C$150,0)),0))</f>
        <v>11.21508</v>
      </c>
      <c r="G127" s="78">
        <f>(HLOOKUP(CONCATENATE($G$3,-1),alles!$D$1:$AA$314,(MATCH(N127,alles!$C$1:$C$314,0)),0))*(HLOOKUP($G$3,'CO2 equivalenten'!$E$4:$Q$150,(MATCH(M127,'CO2 equivalenten'!$C$4:$C$150,0)),0))</f>
        <v>10.530000000000001</v>
      </c>
      <c r="H127" s="78">
        <f>(HLOOKUP(CONCATENATE($G$3,-2),alles!$D$1:$AA$314,(MATCH(N127,alles!$C$1:$C$314,0)),0))*(HLOOKUP($G$3,'CO2 equivalenten'!$E$4:$Q$150,(MATCH(M127,'CO2 equivalenten'!$C$4:$C$150,0)),0))</f>
        <v>12.119063400000002</v>
      </c>
      <c r="I127" s="78">
        <f>(HLOOKUP(CONCATENATE($I$3,-1),alles!$D$1:$AA$314,(MATCH(N127,alles!$C$1:$C$314,0)),0))*(HLOOKUP($I$3,'CO2 equivalenten'!$E$4:$Q$150,(MATCH(M127,'CO2 equivalenten'!$C$4:$C$150,0)),0))</f>
        <v>12.931650000000001</v>
      </c>
      <c r="J127" s="78">
        <f>(HLOOKUP(CONCATENATE($I$3,-2),alles!$D$1:$AA$314,(MATCH(N127,alles!$C$1:$C$314,0)),0))*(HLOOKUP($I$3,'CO2 equivalenten'!$E$4:$Q$150,(MATCH(M127,'CO2 equivalenten'!$C$4:$C$150,0)),0))</f>
        <v>14.277825000000002</v>
      </c>
      <c r="K127" s="85" t="s">
        <v>135</v>
      </c>
      <c r="M127" s="39" t="s">
        <v>332</v>
      </c>
      <c r="N127" s="39" t="s">
        <v>332</v>
      </c>
    </row>
    <row r="128" spans="1:14" x14ac:dyDescent="0.15">
      <c r="A128" s="74"/>
      <c r="B128" s="654" t="s">
        <v>16</v>
      </c>
      <c r="C128" s="78">
        <f>(HLOOKUP(CONCATENATE($C$3,-1),alles!$D$1:$AA$314,(MATCH(N128,alles!$C$1:$C$314,0)),0))*(HLOOKUP($C$3,'CO2 equivalenten'!$E$4:$Q$150,(MATCH(M128,'CO2 equivalenten'!$C$4:$C$150,0)),0))</f>
        <v>0</v>
      </c>
      <c r="D128" s="78">
        <f>(HLOOKUP(CONCATENATE($C$3,-2),alles!$D$1:$AA$314,(MATCH(N128,alles!$C$1:$C$314,0)),0))*(HLOOKUP($C$3,'CO2 equivalenten'!$E$4:$Q$150,(MATCH(M128,'CO2 equivalenten'!$C$4:$C$150,0)),0))</f>
        <v>0</v>
      </c>
      <c r="E128" s="78">
        <f>(HLOOKUP(CONCATENATE($E$3,-1),alles!$D$1:$AA$314,(MATCH(N128,alles!$C$1:$C$314,0)),0))*(HLOOKUP($E$3,'CO2 equivalenten'!$E$4:$Q$150,(MATCH(M128,'CO2 equivalenten'!$C$4:$C$150,0)),0))</f>
        <v>0</v>
      </c>
      <c r="F128" s="78">
        <f>(HLOOKUP(CONCATENATE($E$3,-2),alles!$D$1:$AA$314,(MATCH(N128,alles!$C$1:$C$314,0)),0))*(HLOOKUP($E$3,'CO2 equivalenten'!$E$4:$Q$150,(MATCH(M128,'CO2 equivalenten'!$C$4:$C$150,0)),0))</f>
        <v>0</v>
      </c>
      <c r="G128" s="78">
        <f>(HLOOKUP(CONCATENATE($G$3,-1),alles!$D$1:$AA$314,(MATCH(N128,alles!$C$1:$C$314,0)),0))*(HLOOKUP($G$3,'CO2 equivalenten'!$E$4:$Q$150,(MATCH(M128,'CO2 equivalenten'!$C$4:$C$150,0)),0))</f>
        <v>0</v>
      </c>
      <c r="H128" s="78">
        <f>(HLOOKUP(CONCATENATE($G$3,-2),alles!$D$1:$AA$314,(MATCH(N128,alles!$C$1:$C$314,0)),0))*(HLOOKUP($G$3,'CO2 equivalenten'!$E$4:$Q$150,(MATCH(M128,'CO2 equivalenten'!$C$4:$C$150,0)),0))</f>
        <v>0</v>
      </c>
      <c r="I128" s="78">
        <f>(HLOOKUP(CONCATENATE($I$3,-1),alles!$D$1:$AA$314,(MATCH(N128,alles!$C$1:$C$314,0)),0))*(HLOOKUP($I$3,'CO2 equivalenten'!$E$4:$Q$150,(MATCH(M128,'CO2 equivalenten'!$C$4:$C$150,0)),0))</f>
        <v>0</v>
      </c>
      <c r="J128" s="78">
        <f>(HLOOKUP(CONCATENATE($I$3,-2),alles!$D$1:$AA$314,(MATCH(N128,alles!$C$1:$C$314,0)),0))*(HLOOKUP($I$3,'CO2 equivalenten'!$E$4:$Q$150,(MATCH(M128,'CO2 equivalenten'!$C$4:$C$150,0)),0))</f>
        <v>0</v>
      </c>
      <c r="K128" s="85" t="s">
        <v>135</v>
      </c>
      <c r="M128" s="39" t="s">
        <v>333</v>
      </c>
      <c r="N128" s="39" t="s">
        <v>333</v>
      </c>
    </row>
    <row r="129" spans="1:14" x14ac:dyDescent="0.15">
      <c r="A129" s="74" t="s">
        <v>57</v>
      </c>
      <c r="B129" s="85"/>
      <c r="C129" s="78">
        <f>(HLOOKUP(CONCATENATE($C$3,-1),alles!$D$1:$AA$314,(MATCH(N129,alles!$C$1:$C$314,0)),0))*(HLOOKUP($C$3,'CO2 equivalenten'!$E$4:$Q$150,(MATCH(M129,'CO2 equivalenten'!$C$4:$C$150,0)),0))</f>
        <v>0</v>
      </c>
      <c r="D129" s="78">
        <f>(HLOOKUP(CONCATENATE($C$3,-2),alles!$D$1:$AA$314,(MATCH(N129,alles!$C$1:$C$314,0)),0))*(HLOOKUP($C$3,'CO2 equivalenten'!$E$4:$Q$150,(MATCH(M129,'CO2 equivalenten'!$C$4:$C$150,0)),0))</f>
        <v>0</v>
      </c>
      <c r="E129" s="78">
        <f>(HLOOKUP(CONCATENATE($E$3,-1),alles!$D$1:$AA$314,(MATCH(N129,alles!$C$1:$C$314,0)),0))*(HLOOKUP($E$3,'CO2 equivalenten'!$E$4:$Q$150,(MATCH(M129,'CO2 equivalenten'!$C$4:$C$150,0)),0))</f>
        <v>0</v>
      </c>
      <c r="F129" s="78">
        <f>(HLOOKUP(CONCATENATE($E$3,-2),alles!$D$1:$AA$314,(MATCH(N129,alles!$C$1:$C$314,0)),0))*(HLOOKUP($E$3,'CO2 equivalenten'!$E$4:$Q$150,(MATCH(M129,'CO2 equivalenten'!$C$4:$C$150,0)),0))</f>
        <v>0</v>
      </c>
      <c r="G129" s="78">
        <f>(HLOOKUP(CONCATENATE($G$3,-1),alles!$D$1:$AA$314,(MATCH(N129,alles!$C$1:$C$314,0)),0))*(HLOOKUP($G$3,'CO2 equivalenten'!$E$4:$Q$150,(MATCH(M129,'CO2 equivalenten'!$C$4:$C$150,0)),0))</f>
        <v>0</v>
      </c>
      <c r="H129" s="78">
        <f>(HLOOKUP(CONCATENATE($G$3,-2),alles!$D$1:$AA$314,(MATCH(N129,alles!$C$1:$C$314,0)),0))*(HLOOKUP($G$3,'CO2 equivalenten'!$E$4:$Q$150,(MATCH(M129,'CO2 equivalenten'!$C$4:$C$150,0)),0))</f>
        <v>0</v>
      </c>
      <c r="I129" s="78">
        <f>(HLOOKUP(CONCATENATE($I$3,-1),alles!$D$1:$AA$314,(MATCH(N129,alles!$C$1:$C$314,0)),0))*(HLOOKUP($I$3,'CO2 equivalenten'!$E$4:$Q$150,(MATCH(M129,'CO2 equivalenten'!$C$4:$C$150,0)),0))</f>
        <v>0</v>
      </c>
      <c r="J129" s="78">
        <f>(HLOOKUP(CONCATENATE($I$3,-2),alles!$D$1:$AA$314,(MATCH(N129,alles!$C$1:$C$314,0)),0))*(HLOOKUP($I$3,'CO2 equivalenten'!$E$4:$Q$150,(MATCH(M129,'CO2 equivalenten'!$C$4:$C$150,0)),0))</f>
        <v>0</v>
      </c>
      <c r="K129" s="85" t="s">
        <v>135</v>
      </c>
      <c r="M129" s="39" t="s">
        <v>334</v>
      </c>
      <c r="N129" s="39" t="s">
        <v>334</v>
      </c>
    </row>
    <row r="130" spans="1:14" x14ac:dyDescent="0.15">
      <c r="A130" s="74" t="s">
        <v>58</v>
      </c>
      <c r="B130" s="85" t="s">
        <v>47</v>
      </c>
      <c r="C130" s="78">
        <f>(HLOOKUP(CONCATENATE($C$3,-1),alles!$D$1:$AA$314,(MATCH(N130,alles!$C$1:$C$314,0)),0))*(HLOOKUP($C$3,'CO2 equivalenten'!$E$4:$Q$150,(MATCH(M130,'CO2 equivalenten'!$C$4:$C$150,0)),0))</f>
        <v>0</v>
      </c>
      <c r="D130" s="78">
        <f>(HLOOKUP(CONCATENATE($C$3,-2),alles!$D$1:$AA$314,(MATCH(N130,alles!$C$1:$C$314,0)),0))*(HLOOKUP($C$3,'CO2 equivalenten'!$E$4:$Q$150,(MATCH(M130,'CO2 equivalenten'!$C$4:$C$150,0)),0))</f>
        <v>0</v>
      </c>
      <c r="E130" s="78">
        <f>(HLOOKUP(CONCATENATE($E$3,-1),alles!$D$1:$AA$314,(MATCH(N130,alles!$C$1:$C$314,0)),0))*(HLOOKUP($E$3,'CO2 equivalenten'!$E$4:$Q$150,(MATCH(M130,'CO2 equivalenten'!$C$4:$C$150,0)),0))</f>
        <v>0</v>
      </c>
      <c r="F130" s="78">
        <f>(HLOOKUP(CONCATENATE($E$3,-2),alles!$D$1:$AA$314,(MATCH(N130,alles!$C$1:$C$314,0)),0))*(HLOOKUP($E$3,'CO2 equivalenten'!$E$4:$Q$150,(MATCH(M130,'CO2 equivalenten'!$C$4:$C$150,0)),0))</f>
        <v>0</v>
      </c>
      <c r="G130" s="78">
        <f>(HLOOKUP(CONCATENATE($G$3,-1),alles!$D$1:$AA$314,(MATCH(N130,alles!$C$1:$C$314,0)),0))*(HLOOKUP($G$3,'CO2 equivalenten'!$E$4:$Q$150,(MATCH(M130,'CO2 equivalenten'!$C$4:$C$150,0)),0))</f>
        <v>0</v>
      </c>
      <c r="H130" s="78">
        <f>(HLOOKUP(CONCATENATE($G$3,-2),alles!$D$1:$AA$314,(MATCH(N130,alles!$C$1:$C$314,0)),0))*(HLOOKUP($G$3,'CO2 equivalenten'!$E$4:$Q$150,(MATCH(M130,'CO2 equivalenten'!$C$4:$C$150,0)),0))</f>
        <v>0</v>
      </c>
      <c r="I130" s="78">
        <f>(HLOOKUP(CONCATENATE($I$3,-1),alles!$D$1:$AA$314,(MATCH(N130,alles!$C$1:$C$314,0)),0))*(HLOOKUP($I$3,'CO2 equivalenten'!$E$4:$Q$150,(MATCH(M130,'CO2 equivalenten'!$C$4:$C$150,0)),0))</f>
        <v>0</v>
      </c>
      <c r="J130" s="78">
        <f>(HLOOKUP(CONCATENATE($I$3,-2),alles!$D$1:$AA$314,(MATCH(N130,alles!$C$1:$C$314,0)),0))*(HLOOKUP($I$3,'CO2 equivalenten'!$E$4:$Q$150,(MATCH(M130,'CO2 equivalenten'!$C$4:$C$150,0)),0))</f>
        <v>0</v>
      </c>
      <c r="K130" s="85" t="s">
        <v>135</v>
      </c>
      <c r="M130" s="39" t="s">
        <v>335</v>
      </c>
      <c r="N130" s="39" t="s">
        <v>335</v>
      </c>
    </row>
    <row r="131" spans="1:14" x14ac:dyDescent="0.15">
      <c r="A131" s="76"/>
      <c r="B131" s="90" t="s">
        <v>53</v>
      </c>
      <c r="C131" s="78">
        <f>(HLOOKUP(CONCATENATE($C$3,-1),alles!$D$1:$AA$314,(MATCH(N131,alles!$C$1:$C$314,0)),0))*(HLOOKUP($C$3,'CO2 equivalenten'!$E$4:$Q$150,(MATCH(M131,'CO2 equivalenten'!$C$4:$C$150,0)),0))</f>
        <v>0</v>
      </c>
      <c r="D131" s="78">
        <f>(HLOOKUP(CONCATENATE($C$3,-2),alles!$D$1:$AA$314,(MATCH(N131,alles!$C$1:$C$314,0)),0))*(HLOOKUP($C$3,'CO2 equivalenten'!$E$4:$Q$150,(MATCH(M131,'CO2 equivalenten'!$C$4:$C$150,0)),0))</f>
        <v>0</v>
      </c>
      <c r="E131" s="78">
        <f>(HLOOKUP(CONCATENATE($E$3,-1),alles!$D$1:$AA$314,(MATCH(N131,alles!$C$1:$C$314,0)),0))*(HLOOKUP($E$3,'CO2 equivalenten'!$E$4:$Q$150,(MATCH(M131,'CO2 equivalenten'!$C$4:$C$150,0)),0))</f>
        <v>0</v>
      </c>
      <c r="F131" s="78">
        <f>(HLOOKUP(CONCATENATE($E$3,-2),alles!$D$1:$AA$314,(MATCH(N131,alles!$C$1:$C$314,0)),0))*(HLOOKUP($E$3,'CO2 equivalenten'!$E$4:$Q$150,(MATCH(M131,'CO2 equivalenten'!$C$4:$C$150,0)),0))</f>
        <v>0</v>
      </c>
      <c r="G131" s="78">
        <f>(HLOOKUP(CONCATENATE($G$3,-1),alles!$D$1:$AA$314,(MATCH(N131,alles!$C$1:$C$314,0)),0))*(HLOOKUP($G$3,'CO2 equivalenten'!$E$4:$Q$150,(MATCH(M131,'CO2 equivalenten'!$C$4:$C$150,0)),0))</f>
        <v>0</v>
      </c>
      <c r="H131" s="78">
        <f>(HLOOKUP(CONCATENATE($G$3,-2),alles!$D$1:$AA$314,(MATCH(N131,alles!$C$1:$C$314,0)),0))*(HLOOKUP($G$3,'CO2 equivalenten'!$E$4:$Q$150,(MATCH(M131,'CO2 equivalenten'!$C$4:$C$150,0)),0))</f>
        <v>0</v>
      </c>
      <c r="I131" s="78">
        <f>(HLOOKUP(CONCATENATE($I$3,-1),alles!$D$1:$AA$314,(MATCH(N131,alles!$C$1:$C$314,0)),0))*(HLOOKUP($I$3,'CO2 equivalenten'!$E$4:$Q$150,(MATCH(M131,'CO2 equivalenten'!$C$4:$C$150,0)),0))</f>
        <v>0</v>
      </c>
      <c r="J131" s="78">
        <f>(HLOOKUP(CONCATENATE($I$3,-2),alles!$D$1:$AA$314,(MATCH(N131,alles!$C$1:$C$314,0)),0))*(HLOOKUP($I$3,'CO2 equivalenten'!$E$4:$Q$150,(MATCH(M131,'CO2 equivalenten'!$C$4:$C$150,0)),0))</f>
        <v>0</v>
      </c>
      <c r="K131" s="85" t="s">
        <v>135</v>
      </c>
      <c r="M131" s="39" t="s">
        <v>336</v>
      </c>
      <c r="N131" s="39" t="s">
        <v>336</v>
      </c>
    </row>
    <row r="132" spans="1:14" ht="12" x14ac:dyDescent="0.15">
      <c r="A132" s="531" t="s">
        <v>6</v>
      </c>
      <c r="B132" s="532" t="s">
        <v>31</v>
      </c>
      <c r="C132" s="557">
        <f>SUM(C133:C143)</f>
        <v>0</v>
      </c>
      <c r="D132" s="558">
        <f t="shared" ref="D132:J132" si="31">SUM(D133:D143)</f>
        <v>0</v>
      </c>
      <c r="E132" s="558">
        <f t="shared" si="31"/>
        <v>0</v>
      </c>
      <c r="F132" s="558">
        <f t="shared" si="31"/>
        <v>0</v>
      </c>
      <c r="G132" s="558">
        <f t="shared" si="31"/>
        <v>0</v>
      </c>
      <c r="H132" s="558">
        <f t="shared" si="31"/>
        <v>0</v>
      </c>
      <c r="I132" s="558">
        <f t="shared" si="31"/>
        <v>0</v>
      </c>
      <c r="J132" s="558">
        <f t="shared" si="31"/>
        <v>0</v>
      </c>
      <c r="K132" s="532" t="s">
        <v>463</v>
      </c>
    </row>
    <row r="133" spans="1:14" ht="12" x14ac:dyDescent="0.15">
      <c r="A133" s="88" t="s">
        <v>46</v>
      </c>
      <c r="B133" s="85" t="s">
        <v>47</v>
      </c>
      <c r="C133" s="78">
        <f>(HLOOKUP(CONCATENATE($C$3,-1),alles!$D$1:$AA$314,(MATCH(N133,alles!$C$1:$C$314,0)),0))*(HLOOKUP($C$3,'CO2 equivalenten'!$E$4:$Q$150,(MATCH(M133,'CO2 equivalenten'!$C$4:$C$150,0)),0))</f>
        <v>0</v>
      </c>
      <c r="D133" s="78">
        <f>(HLOOKUP(CONCATENATE($C$3,-2),alles!$D$1:$AA$314,(MATCH(N133,alles!$C$1:$C$314,0)),0))*(HLOOKUP($C$3,'CO2 equivalenten'!$E$4:$Q$150,(MATCH(M133,'CO2 equivalenten'!$C$4:$C$150,0)),0))</f>
        <v>0</v>
      </c>
      <c r="E133" s="78">
        <f>(HLOOKUP(CONCATENATE($E$3,-1),alles!$D$1:$AA$314,(MATCH(N133,alles!$C$1:$C$314,0)),0))*(HLOOKUP($E$3,'CO2 equivalenten'!$E$4:$Q$150,(MATCH(M133,'CO2 equivalenten'!$C$4:$C$150,0)),0))</f>
        <v>0</v>
      </c>
      <c r="F133" s="78">
        <f>(HLOOKUP(CONCATENATE($E$3,-2),alles!$D$1:$AA$314,(MATCH(N133,alles!$C$1:$C$314,0)),0))*(HLOOKUP($E$3,'CO2 equivalenten'!$E$4:$Q$150,(MATCH(M133,'CO2 equivalenten'!$C$4:$C$150,0)),0))</f>
        <v>0</v>
      </c>
      <c r="G133" s="78">
        <f>(HLOOKUP(CONCATENATE($G$3,-1),alles!$D$1:$AA$314,(MATCH(N133,alles!$C$1:$C$314,0)),0))*(HLOOKUP($G$3,'CO2 equivalenten'!$E$4:$Q$150,(MATCH(M133,'CO2 equivalenten'!$C$4:$C$150,0)),0))</f>
        <v>0</v>
      </c>
      <c r="H133" s="78">
        <f>(HLOOKUP(CONCATENATE($G$3,-2),alles!$D$1:$AA$314,(MATCH(N133,alles!$C$1:$C$314,0)),0))*(HLOOKUP($G$3,'CO2 equivalenten'!$E$4:$Q$150,(MATCH(M133,'CO2 equivalenten'!$C$4:$C$150,0)),0))</f>
        <v>0</v>
      </c>
      <c r="I133" s="78">
        <f>(HLOOKUP(CONCATENATE($I$3,-1),alles!$D$1:$AA$314,(MATCH(N133,alles!$C$1:$C$314,0)),0))*(HLOOKUP($I$3,'CO2 equivalenten'!$E$4:$Q$150,(MATCH(M133,'CO2 equivalenten'!$C$4:$C$150,0)),0))</f>
        <v>0</v>
      </c>
      <c r="J133" s="78">
        <f>(HLOOKUP(CONCATENATE($I$3,-2),alles!$D$1:$AA$314,(MATCH(N133,alles!$C$1:$C$314,0)),0))*(HLOOKUP($I$3,'CO2 equivalenten'!$E$4:$Q$150,(MATCH(M133,'CO2 equivalenten'!$C$4:$C$150,0)),0))</f>
        <v>0</v>
      </c>
      <c r="K133" s="85" t="s">
        <v>135</v>
      </c>
      <c r="M133" s="68" t="s">
        <v>384</v>
      </c>
      <c r="N133" s="39" t="s">
        <v>384</v>
      </c>
    </row>
    <row r="134" spans="1:14" x14ac:dyDescent="0.15">
      <c r="A134" s="74"/>
      <c r="B134" s="85" t="s">
        <v>14</v>
      </c>
      <c r="C134" s="78">
        <f>(HLOOKUP(CONCATENATE($C$3,-1),alles!$D$1:$AA$314,(MATCH(N134,alles!$C$1:$C$314,0)),0))*(HLOOKUP($C$3,'CO2 equivalenten'!$E$4:$Q$150,(MATCH(M134,'CO2 equivalenten'!$C$4:$C$150,0)),0))</f>
        <v>0</v>
      </c>
      <c r="D134" s="78">
        <f>(HLOOKUP(CONCATENATE($C$3,-2),alles!$D$1:$AA$314,(MATCH(N134,alles!$C$1:$C$314,0)),0))*(HLOOKUP($C$3,'CO2 equivalenten'!$E$4:$Q$150,(MATCH(M134,'CO2 equivalenten'!$C$4:$C$150,0)),0))</f>
        <v>0</v>
      </c>
      <c r="E134" s="78">
        <f>(HLOOKUP(CONCATENATE($E$3,-1),alles!$D$1:$AA$314,(MATCH(N134,alles!$C$1:$C$314,0)),0))*(HLOOKUP($E$3,'CO2 equivalenten'!$E$4:$Q$150,(MATCH(M134,'CO2 equivalenten'!$C$4:$C$150,0)),0))</f>
        <v>0</v>
      </c>
      <c r="F134" s="78">
        <f>(HLOOKUP(CONCATENATE($E$3,-2),alles!$D$1:$AA$314,(MATCH(N134,alles!$C$1:$C$314,0)),0))*(HLOOKUP($E$3,'CO2 equivalenten'!$E$4:$Q$150,(MATCH(M134,'CO2 equivalenten'!$C$4:$C$150,0)),0))</f>
        <v>0</v>
      </c>
      <c r="G134" s="78">
        <f>(HLOOKUP(CONCATENATE($G$3,-1),alles!$D$1:$AA$314,(MATCH(N134,alles!$C$1:$C$314,0)),0))*(HLOOKUP($G$3,'CO2 equivalenten'!$E$4:$Q$150,(MATCH(M134,'CO2 equivalenten'!$C$4:$C$150,0)),0))</f>
        <v>0</v>
      </c>
      <c r="H134" s="78">
        <f>(HLOOKUP(CONCATENATE($G$3,-2),alles!$D$1:$AA$314,(MATCH(N134,alles!$C$1:$C$314,0)),0))*(HLOOKUP($G$3,'CO2 equivalenten'!$E$4:$Q$150,(MATCH(M134,'CO2 equivalenten'!$C$4:$C$150,0)),0))</f>
        <v>0</v>
      </c>
      <c r="I134" s="78">
        <f>(HLOOKUP(CONCATENATE($I$3,-1),alles!$D$1:$AA$314,(MATCH(N134,alles!$C$1:$C$314,0)),0))*(HLOOKUP($I$3,'CO2 equivalenten'!$E$4:$Q$150,(MATCH(M134,'CO2 equivalenten'!$C$4:$C$150,0)),0))</f>
        <v>0</v>
      </c>
      <c r="J134" s="78">
        <f>(HLOOKUP(CONCATENATE($I$3,-2),alles!$D$1:$AA$314,(MATCH(N134,alles!$C$1:$C$314,0)),0))*(HLOOKUP($I$3,'CO2 equivalenten'!$E$4:$Q$150,(MATCH(M134,'CO2 equivalenten'!$C$4:$C$150,0)),0))</f>
        <v>0</v>
      </c>
      <c r="K134" s="85" t="s">
        <v>135</v>
      </c>
      <c r="M134" s="68" t="s">
        <v>385</v>
      </c>
      <c r="N134" s="39" t="s">
        <v>385</v>
      </c>
    </row>
    <row r="135" spans="1:14" x14ac:dyDescent="0.15">
      <c r="A135" s="74"/>
      <c r="B135" s="85" t="s">
        <v>48</v>
      </c>
      <c r="C135" s="78">
        <f>(HLOOKUP(CONCATENATE($C$3,-1),alles!$D$1:$AA$314,(MATCH(N135,alles!$C$1:$C$314,0)),0))*(HLOOKUP($C$3,'CO2 equivalenten'!$E$4:$Q$150,(MATCH(M135,'CO2 equivalenten'!$C$4:$C$150,0)),0))</f>
        <v>0</v>
      </c>
      <c r="D135" s="78">
        <f>(HLOOKUP(CONCATENATE($C$3,-2),alles!$D$1:$AA$314,(MATCH(N135,alles!$C$1:$C$314,0)),0))*(HLOOKUP($C$3,'CO2 equivalenten'!$E$4:$Q$150,(MATCH(M135,'CO2 equivalenten'!$C$4:$C$150,0)),0))</f>
        <v>0</v>
      </c>
      <c r="E135" s="78">
        <f>(HLOOKUP(CONCATENATE($E$3,-1),alles!$D$1:$AA$314,(MATCH(N135,alles!$C$1:$C$314,0)),0))*(HLOOKUP($E$3,'CO2 equivalenten'!$E$4:$Q$150,(MATCH(M135,'CO2 equivalenten'!$C$4:$C$150,0)),0))</f>
        <v>0</v>
      </c>
      <c r="F135" s="78">
        <f>(HLOOKUP(CONCATENATE($E$3,-2),alles!$D$1:$AA$314,(MATCH(N135,alles!$C$1:$C$314,0)),0))*(HLOOKUP($E$3,'CO2 equivalenten'!$E$4:$Q$150,(MATCH(M135,'CO2 equivalenten'!$C$4:$C$150,0)),0))</f>
        <v>0</v>
      </c>
      <c r="G135" s="78">
        <f>(HLOOKUP(CONCATENATE($G$3,-1),alles!$D$1:$AA$314,(MATCH(N135,alles!$C$1:$C$314,0)),0))*(HLOOKUP($G$3,'CO2 equivalenten'!$E$4:$Q$150,(MATCH(M135,'CO2 equivalenten'!$C$4:$C$150,0)),0))</f>
        <v>0</v>
      </c>
      <c r="H135" s="78">
        <f>(HLOOKUP(CONCATENATE($G$3,-2),alles!$D$1:$AA$314,(MATCH(N135,alles!$C$1:$C$314,0)),0))*(HLOOKUP($G$3,'CO2 equivalenten'!$E$4:$Q$150,(MATCH(M135,'CO2 equivalenten'!$C$4:$C$150,0)),0))</f>
        <v>0</v>
      </c>
      <c r="I135" s="78">
        <f>(HLOOKUP(CONCATENATE($I$3,-1),alles!$D$1:$AA$314,(MATCH(N135,alles!$C$1:$C$314,0)),0))*(HLOOKUP($I$3,'CO2 equivalenten'!$E$4:$Q$150,(MATCH(M135,'CO2 equivalenten'!$C$4:$C$150,0)),0))</f>
        <v>0</v>
      </c>
      <c r="J135" s="78">
        <f>(HLOOKUP(CONCATENATE($I$3,-2),alles!$D$1:$AA$314,(MATCH(N135,alles!$C$1:$C$314,0)),0))*(HLOOKUP($I$3,'CO2 equivalenten'!$E$4:$Q$150,(MATCH(M135,'CO2 equivalenten'!$C$4:$C$150,0)),0))</f>
        <v>0</v>
      </c>
      <c r="K135" s="85" t="s">
        <v>135</v>
      </c>
      <c r="M135" s="68" t="s">
        <v>394</v>
      </c>
      <c r="N135" s="39" t="s">
        <v>386</v>
      </c>
    </row>
    <row r="136" spans="1:14" x14ac:dyDescent="0.15">
      <c r="A136" s="74"/>
      <c r="B136" s="85" t="s">
        <v>49</v>
      </c>
      <c r="C136" s="78">
        <f>(HLOOKUP(CONCATENATE($C$3,-1),alles!$D$1:$AA$314,(MATCH(N136,alles!$C$1:$C$314,0)),0))*(HLOOKUP($C$3,'CO2 equivalenten'!$E$4:$Q$150,(MATCH(M136,'CO2 equivalenten'!$C$4:$C$150,0)),0))</f>
        <v>0</v>
      </c>
      <c r="D136" s="78">
        <f>(HLOOKUP(CONCATENATE($C$3,-2),alles!$D$1:$AA$314,(MATCH(N136,alles!$C$1:$C$314,0)),0))*(HLOOKUP($C$3,'CO2 equivalenten'!$E$4:$Q$150,(MATCH(M136,'CO2 equivalenten'!$C$4:$C$150,0)),0))</f>
        <v>0</v>
      </c>
      <c r="E136" s="78">
        <f>(HLOOKUP(CONCATENATE($E$3,-1),alles!$D$1:$AA$314,(MATCH(N136,alles!$C$1:$C$314,0)),0))*(HLOOKUP($E$3,'CO2 equivalenten'!$E$4:$Q$150,(MATCH(M136,'CO2 equivalenten'!$C$4:$C$150,0)),0))</f>
        <v>0</v>
      </c>
      <c r="F136" s="78">
        <f>(HLOOKUP(CONCATENATE($E$3,-2),alles!$D$1:$AA$314,(MATCH(N136,alles!$C$1:$C$314,0)),0))*(HLOOKUP($E$3,'CO2 equivalenten'!$E$4:$Q$150,(MATCH(M136,'CO2 equivalenten'!$C$4:$C$150,0)),0))</f>
        <v>0</v>
      </c>
      <c r="G136" s="78">
        <f>(HLOOKUP(CONCATENATE($G$3,-1),alles!$D$1:$AA$314,(MATCH(N136,alles!$C$1:$C$314,0)),0))*(HLOOKUP($G$3,'CO2 equivalenten'!$E$4:$Q$150,(MATCH(M136,'CO2 equivalenten'!$C$4:$C$150,0)),0))</f>
        <v>0</v>
      </c>
      <c r="H136" s="78">
        <f>(HLOOKUP(CONCATENATE($G$3,-2),alles!$D$1:$AA$314,(MATCH(N136,alles!$C$1:$C$314,0)),0))*(HLOOKUP($G$3,'CO2 equivalenten'!$E$4:$Q$150,(MATCH(M136,'CO2 equivalenten'!$C$4:$C$150,0)),0))</f>
        <v>0</v>
      </c>
      <c r="I136" s="78">
        <f>(HLOOKUP(CONCATENATE($I$3,-1),alles!$D$1:$AA$314,(MATCH(N136,alles!$C$1:$C$314,0)),0))*(HLOOKUP($I$3,'CO2 equivalenten'!$E$4:$Q$150,(MATCH(M136,'CO2 equivalenten'!$C$4:$C$150,0)),0))</f>
        <v>0</v>
      </c>
      <c r="J136" s="78">
        <f>(HLOOKUP(CONCATENATE($I$3,-2),alles!$D$1:$AA$314,(MATCH(N136,alles!$C$1:$C$314,0)),0))*(HLOOKUP($I$3,'CO2 equivalenten'!$E$4:$Q$150,(MATCH(M136,'CO2 equivalenten'!$C$4:$C$150,0)),0))</f>
        <v>0</v>
      </c>
      <c r="K136" s="85" t="s">
        <v>135</v>
      </c>
      <c r="M136" s="68" t="s">
        <v>395</v>
      </c>
      <c r="N136" s="39" t="s">
        <v>387</v>
      </c>
    </row>
    <row r="137" spans="1:14" x14ac:dyDescent="0.15">
      <c r="A137" s="74" t="s">
        <v>50</v>
      </c>
      <c r="B137" s="85" t="s">
        <v>47</v>
      </c>
      <c r="C137" s="78">
        <f>(HLOOKUP(CONCATENATE($C$3,-1),alles!$D$1:$AA$314,(MATCH(N137,alles!$C$1:$C$314,0)),0))*(HLOOKUP($C$3,'CO2 equivalenten'!$E$4:$Q$150,(MATCH(M137,'CO2 equivalenten'!$C$4:$C$150,0)),0))</f>
        <v>0</v>
      </c>
      <c r="D137" s="78">
        <f>(HLOOKUP(CONCATENATE($C$3,-2),alles!$D$1:$AA$314,(MATCH(N137,alles!$C$1:$C$314,0)),0))*(HLOOKUP($C$3,'CO2 equivalenten'!$E$4:$Q$150,(MATCH(M137,'CO2 equivalenten'!$C$4:$C$150,0)),0))</f>
        <v>0</v>
      </c>
      <c r="E137" s="78">
        <f>(HLOOKUP(CONCATENATE($E$3,-1),alles!$D$1:$AA$314,(MATCH(N137,alles!$C$1:$C$314,0)),0))*(HLOOKUP($E$3,'CO2 equivalenten'!$E$4:$Q$150,(MATCH(M137,'CO2 equivalenten'!$C$4:$C$150,0)),0))</f>
        <v>0</v>
      </c>
      <c r="F137" s="78">
        <f>(HLOOKUP(CONCATENATE($E$3,-2),alles!$D$1:$AA$314,(MATCH(N137,alles!$C$1:$C$314,0)),0))*(HLOOKUP($E$3,'CO2 equivalenten'!$E$4:$Q$150,(MATCH(M137,'CO2 equivalenten'!$C$4:$C$150,0)),0))</f>
        <v>0</v>
      </c>
      <c r="G137" s="78">
        <f>(HLOOKUP(CONCATENATE($G$3,-1),alles!$D$1:$AA$314,(MATCH(N137,alles!$C$1:$C$314,0)),0))*(HLOOKUP($G$3,'CO2 equivalenten'!$E$4:$Q$150,(MATCH(M137,'CO2 equivalenten'!$C$4:$C$150,0)),0))</f>
        <v>0</v>
      </c>
      <c r="H137" s="78">
        <f>(HLOOKUP(CONCATENATE($G$3,-2),alles!$D$1:$AA$314,(MATCH(N137,alles!$C$1:$C$314,0)),0))*(HLOOKUP($G$3,'CO2 equivalenten'!$E$4:$Q$150,(MATCH(M137,'CO2 equivalenten'!$C$4:$C$150,0)),0))</f>
        <v>0</v>
      </c>
      <c r="I137" s="78">
        <f>(HLOOKUP(CONCATENATE($I$3,-1),alles!$D$1:$AA$314,(MATCH(N137,alles!$C$1:$C$314,0)),0))*(HLOOKUP($I$3,'CO2 equivalenten'!$E$4:$Q$150,(MATCH(M137,'CO2 equivalenten'!$C$4:$C$150,0)),0))</f>
        <v>0</v>
      </c>
      <c r="J137" s="78">
        <f>(HLOOKUP(CONCATENATE($I$3,-2),alles!$D$1:$AA$314,(MATCH(N137,alles!$C$1:$C$314,0)),0))*(HLOOKUP($I$3,'CO2 equivalenten'!$E$4:$Q$150,(MATCH(M137,'CO2 equivalenten'!$C$4:$C$150,0)),0))</f>
        <v>0</v>
      </c>
      <c r="K137" s="85" t="s">
        <v>135</v>
      </c>
      <c r="M137" s="39" t="s">
        <v>388</v>
      </c>
      <c r="N137" s="39" t="s">
        <v>388</v>
      </c>
    </row>
    <row r="138" spans="1:14" x14ac:dyDescent="0.15">
      <c r="A138" s="74"/>
      <c r="B138" s="85" t="s">
        <v>14</v>
      </c>
      <c r="C138" s="78">
        <f>(HLOOKUP(CONCATENATE($C$3,-1),alles!$D$1:$AA$314,(MATCH(N138,alles!$C$1:$C$314,0)),0))*(HLOOKUP($C$3,'CO2 equivalenten'!$E$4:$Q$150,(MATCH(M138,'CO2 equivalenten'!$C$4:$C$150,0)),0))</f>
        <v>0</v>
      </c>
      <c r="D138" s="78">
        <f>(HLOOKUP(CONCATENATE($C$3,-2),alles!$D$1:$AA$314,(MATCH(N138,alles!$C$1:$C$314,0)),0))*(HLOOKUP($C$3,'CO2 equivalenten'!$E$4:$Q$150,(MATCH(M138,'CO2 equivalenten'!$C$4:$C$150,0)),0))</f>
        <v>0</v>
      </c>
      <c r="E138" s="78">
        <f>(HLOOKUP(CONCATENATE($E$3,-1),alles!$D$1:$AA$314,(MATCH(N138,alles!$C$1:$C$314,0)),0))*(HLOOKUP($E$3,'CO2 equivalenten'!$E$4:$Q$150,(MATCH(M138,'CO2 equivalenten'!$C$4:$C$150,0)),0))</f>
        <v>0</v>
      </c>
      <c r="F138" s="78">
        <f>(HLOOKUP(CONCATENATE($E$3,-2),alles!$D$1:$AA$314,(MATCH(N138,alles!$C$1:$C$314,0)),0))*(HLOOKUP($E$3,'CO2 equivalenten'!$E$4:$Q$150,(MATCH(M138,'CO2 equivalenten'!$C$4:$C$150,0)),0))</f>
        <v>0</v>
      </c>
      <c r="G138" s="78">
        <f>(HLOOKUP(CONCATENATE($G$3,-1),alles!$D$1:$AA$314,(MATCH(N138,alles!$C$1:$C$314,0)),0))*(HLOOKUP($G$3,'CO2 equivalenten'!$E$4:$Q$150,(MATCH(M138,'CO2 equivalenten'!$C$4:$C$150,0)),0))</f>
        <v>0</v>
      </c>
      <c r="H138" s="78">
        <f>(HLOOKUP(CONCATENATE($G$3,-2),alles!$D$1:$AA$314,(MATCH(N138,alles!$C$1:$C$314,0)),0))*(HLOOKUP($G$3,'CO2 equivalenten'!$E$4:$Q$150,(MATCH(M138,'CO2 equivalenten'!$C$4:$C$150,0)),0))</f>
        <v>0</v>
      </c>
      <c r="I138" s="78">
        <f>(HLOOKUP(CONCATENATE($I$3,-1),alles!$D$1:$AA$314,(MATCH(N138,alles!$C$1:$C$314,0)),0))*(HLOOKUP($I$3,'CO2 equivalenten'!$E$4:$Q$150,(MATCH(M138,'CO2 equivalenten'!$C$4:$C$150,0)),0))</f>
        <v>0</v>
      </c>
      <c r="J138" s="78">
        <f>(HLOOKUP(CONCATENATE($I$3,-2),alles!$D$1:$AA$314,(MATCH(N138,alles!$C$1:$C$314,0)),0))*(HLOOKUP($I$3,'CO2 equivalenten'!$E$4:$Q$150,(MATCH(M138,'CO2 equivalenten'!$C$4:$C$150,0)),0))</f>
        <v>0</v>
      </c>
      <c r="K138" s="85" t="s">
        <v>135</v>
      </c>
      <c r="M138" s="39" t="s">
        <v>396</v>
      </c>
      <c r="N138" s="39" t="s">
        <v>396</v>
      </c>
    </row>
    <row r="139" spans="1:14" x14ac:dyDescent="0.15">
      <c r="A139" s="74"/>
      <c r="B139" s="85" t="s">
        <v>128</v>
      </c>
      <c r="C139" s="78">
        <f>(HLOOKUP(CONCATENATE($C$3,-1),alles!$D$1:$AA$314,(MATCH(N139,alles!$C$1:$C$314,0)),0))*(HLOOKUP($C$3,'CO2 equivalenten'!$E$4:$Q$150,(MATCH(M139,'CO2 equivalenten'!$C$4:$C$150,0)),0))</f>
        <v>0</v>
      </c>
      <c r="D139" s="78">
        <f>(HLOOKUP(CONCATENATE($C$3,-2),alles!$D$1:$AA$314,(MATCH(N139,alles!$C$1:$C$314,0)),0))*(HLOOKUP($C$3,'CO2 equivalenten'!$E$4:$Q$150,(MATCH(M139,'CO2 equivalenten'!$C$4:$C$150,0)),0))</f>
        <v>0</v>
      </c>
      <c r="E139" s="78">
        <f>(HLOOKUP(CONCATENATE($E$3,-1),alles!$D$1:$AA$314,(MATCH(N139,alles!$C$1:$C$314,0)),0))*(HLOOKUP($E$3,'CO2 equivalenten'!$E$4:$Q$150,(MATCH(M139,'CO2 equivalenten'!$C$4:$C$150,0)),0))</f>
        <v>0</v>
      </c>
      <c r="F139" s="78">
        <f>(HLOOKUP(CONCATENATE($E$3,-2),alles!$D$1:$AA$314,(MATCH(N139,alles!$C$1:$C$314,0)),0))*(HLOOKUP($E$3,'CO2 equivalenten'!$E$4:$Q$150,(MATCH(M139,'CO2 equivalenten'!$C$4:$C$150,0)),0))</f>
        <v>0</v>
      </c>
      <c r="G139" s="78">
        <f>(HLOOKUP(CONCATENATE($G$3,-1),alles!$D$1:$AA$314,(MATCH(N139,alles!$C$1:$C$314,0)),0))*(HLOOKUP($G$3,'CO2 equivalenten'!$E$4:$Q$150,(MATCH(M139,'CO2 equivalenten'!$C$4:$C$150,0)),0))</f>
        <v>0</v>
      </c>
      <c r="H139" s="78">
        <f>(HLOOKUP(CONCATENATE($G$3,-2),alles!$D$1:$AA$314,(MATCH(N139,alles!$C$1:$C$314,0)),0))*(HLOOKUP($G$3,'CO2 equivalenten'!$E$4:$Q$150,(MATCH(M139,'CO2 equivalenten'!$C$4:$C$150,0)),0))</f>
        <v>0</v>
      </c>
      <c r="I139" s="78">
        <f>(HLOOKUP(CONCATENATE($I$3,-1),alles!$D$1:$AA$314,(MATCH(N139,alles!$C$1:$C$314,0)),0))*(HLOOKUP($I$3,'CO2 equivalenten'!$E$4:$Q$150,(MATCH(M139,'CO2 equivalenten'!$C$4:$C$150,0)),0))</f>
        <v>0</v>
      </c>
      <c r="J139" s="78">
        <f>(HLOOKUP(CONCATENATE($I$3,-2),alles!$D$1:$AA$314,(MATCH(N139,alles!$C$1:$C$314,0)),0))*(HLOOKUP($I$3,'CO2 equivalenten'!$E$4:$Q$150,(MATCH(M139,'CO2 equivalenten'!$C$4:$C$150,0)),0))</f>
        <v>0</v>
      </c>
      <c r="K139" s="85" t="s">
        <v>135</v>
      </c>
      <c r="M139" s="39" t="s">
        <v>397</v>
      </c>
      <c r="N139" s="39" t="s">
        <v>389</v>
      </c>
    </row>
    <row r="140" spans="1:14" x14ac:dyDescent="0.15">
      <c r="A140" s="74"/>
      <c r="B140" s="85" t="s">
        <v>129</v>
      </c>
      <c r="C140" s="78">
        <f>(HLOOKUP(CONCATENATE($C$3,-1),alles!$D$1:$AA$314,(MATCH(N140,alles!$C$1:$C$314,0)),0))*(HLOOKUP($C$3,'CO2 equivalenten'!$E$4:$Q$150,(MATCH(M140,'CO2 equivalenten'!$C$4:$C$150,0)),0))</f>
        <v>0</v>
      </c>
      <c r="D140" s="78">
        <f>(HLOOKUP(CONCATENATE($C$3,-2),alles!$D$1:$AA$314,(MATCH(N140,alles!$C$1:$C$314,0)),0))*(HLOOKUP($C$3,'CO2 equivalenten'!$E$4:$Q$150,(MATCH(M140,'CO2 equivalenten'!$C$4:$C$150,0)),0))</f>
        <v>0</v>
      </c>
      <c r="E140" s="78">
        <f>(HLOOKUP(CONCATENATE($E$3,-1),alles!$D$1:$AA$314,(MATCH(N140,alles!$C$1:$C$314,0)),0))*(HLOOKUP($E$3,'CO2 equivalenten'!$E$4:$Q$150,(MATCH(M140,'CO2 equivalenten'!$C$4:$C$150,0)),0))</f>
        <v>0</v>
      </c>
      <c r="F140" s="78">
        <f>(HLOOKUP(CONCATENATE($E$3,-2),alles!$D$1:$AA$314,(MATCH(N140,alles!$C$1:$C$314,0)),0))*(HLOOKUP($E$3,'CO2 equivalenten'!$E$4:$Q$150,(MATCH(M140,'CO2 equivalenten'!$C$4:$C$150,0)),0))</f>
        <v>0</v>
      </c>
      <c r="G140" s="78">
        <f>(HLOOKUP(CONCATENATE($G$3,-1),alles!$D$1:$AA$314,(MATCH(N140,alles!$C$1:$C$314,0)),0))*(HLOOKUP($G$3,'CO2 equivalenten'!$E$4:$Q$150,(MATCH(M140,'CO2 equivalenten'!$C$4:$C$150,0)),0))</f>
        <v>0</v>
      </c>
      <c r="H140" s="78">
        <f>(HLOOKUP(CONCATENATE($G$3,-2),alles!$D$1:$AA$314,(MATCH(N140,alles!$C$1:$C$314,0)),0))*(HLOOKUP($G$3,'CO2 equivalenten'!$E$4:$Q$150,(MATCH(M140,'CO2 equivalenten'!$C$4:$C$150,0)),0))</f>
        <v>0</v>
      </c>
      <c r="I140" s="78">
        <f>(HLOOKUP(CONCATENATE($I$3,-1),alles!$D$1:$AA$314,(MATCH(N140,alles!$C$1:$C$314,0)),0))*(HLOOKUP($I$3,'CO2 equivalenten'!$E$4:$Q$150,(MATCH(M140,'CO2 equivalenten'!$C$4:$C$150,0)),0))</f>
        <v>0</v>
      </c>
      <c r="J140" s="78">
        <f>(HLOOKUP(CONCATENATE($I$3,-2),alles!$D$1:$AA$314,(MATCH(N140,alles!$C$1:$C$314,0)),0))*(HLOOKUP($I$3,'CO2 equivalenten'!$E$4:$Q$150,(MATCH(M140,'CO2 equivalenten'!$C$4:$C$150,0)),0))</f>
        <v>0</v>
      </c>
      <c r="K140" s="85" t="s">
        <v>135</v>
      </c>
      <c r="M140" s="39" t="s">
        <v>398</v>
      </c>
      <c r="N140" s="39" t="s">
        <v>390</v>
      </c>
    </row>
    <row r="141" spans="1:14" x14ac:dyDescent="0.15">
      <c r="A141" s="74"/>
      <c r="B141" s="85" t="s">
        <v>53</v>
      </c>
      <c r="C141" s="78">
        <f>(HLOOKUP(CONCATENATE($C$3,-1),alles!$D$1:$AA$314,(MATCH(N141,alles!$C$1:$C$314,0)),0))*(HLOOKUP($C$3,'CO2 equivalenten'!$E$4:$Q$150,(MATCH(M141,'CO2 equivalenten'!$C$4:$C$150,0)),0))</f>
        <v>0</v>
      </c>
      <c r="D141" s="78">
        <f>(HLOOKUP(CONCATENATE($C$3,-2),alles!$D$1:$AA$314,(MATCH(N141,alles!$C$1:$C$314,0)),0))*(HLOOKUP($C$3,'CO2 equivalenten'!$E$4:$Q$150,(MATCH(M141,'CO2 equivalenten'!$C$4:$C$150,0)),0))</f>
        <v>0</v>
      </c>
      <c r="E141" s="78">
        <f>(HLOOKUP(CONCATENATE($E$3,-1),alles!$D$1:$AA$314,(MATCH(N141,alles!$C$1:$C$314,0)),0))*(HLOOKUP($E$3,'CO2 equivalenten'!$E$4:$Q$150,(MATCH(M141,'CO2 equivalenten'!$C$4:$C$150,0)),0))</f>
        <v>0</v>
      </c>
      <c r="F141" s="78">
        <f>(HLOOKUP(CONCATENATE($E$3,-2),alles!$D$1:$AA$314,(MATCH(N141,alles!$C$1:$C$314,0)),0))*(HLOOKUP($E$3,'CO2 equivalenten'!$E$4:$Q$150,(MATCH(M141,'CO2 equivalenten'!$C$4:$C$150,0)),0))</f>
        <v>0</v>
      </c>
      <c r="G141" s="78">
        <f>(HLOOKUP(CONCATENATE($G$3,-1),alles!$D$1:$AA$314,(MATCH(N141,alles!$C$1:$C$314,0)),0))*(HLOOKUP($G$3,'CO2 equivalenten'!$E$4:$Q$150,(MATCH(M141,'CO2 equivalenten'!$C$4:$C$150,0)),0))</f>
        <v>0</v>
      </c>
      <c r="H141" s="78">
        <f>(HLOOKUP(CONCATENATE($G$3,-2),alles!$D$1:$AA$314,(MATCH(N141,alles!$C$1:$C$314,0)),0))*(HLOOKUP($G$3,'CO2 equivalenten'!$E$4:$Q$150,(MATCH(M141,'CO2 equivalenten'!$C$4:$C$150,0)),0))</f>
        <v>0</v>
      </c>
      <c r="I141" s="78">
        <f>(HLOOKUP(CONCATENATE($I$3,-1),alles!$D$1:$AA$314,(MATCH(N141,alles!$C$1:$C$314,0)),0))*(HLOOKUP($I$3,'CO2 equivalenten'!$E$4:$Q$150,(MATCH(M141,'CO2 equivalenten'!$C$4:$C$150,0)),0))</f>
        <v>0</v>
      </c>
      <c r="J141" s="78">
        <f>(HLOOKUP(CONCATENATE($I$3,-2),alles!$D$1:$AA$314,(MATCH(N141,alles!$C$1:$C$314,0)),0))*(HLOOKUP($I$3,'CO2 equivalenten'!$E$4:$Q$150,(MATCH(M141,'CO2 equivalenten'!$C$4:$C$150,0)),0))</f>
        <v>0</v>
      </c>
      <c r="K141" s="85" t="s">
        <v>135</v>
      </c>
      <c r="M141" s="39" t="s">
        <v>391</v>
      </c>
      <c r="N141" s="39" t="s">
        <v>391</v>
      </c>
    </row>
    <row r="142" spans="1:14" x14ac:dyDescent="0.15">
      <c r="A142" s="74" t="s">
        <v>54</v>
      </c>
      <c r="B142" s="85" t="s">
        <v>53</v>
      </c>
      <c r="C142" s="78">
        <f>(HLOOKUP(CONCATENATE($C$3,-1),alles!$D$1:$AA$314,(MATCH(N142,alles!$C$1:$C$314,0)),0))*(HLOOKUP($C$3,'CO2 equivalenten'!$E$4:$Q$150,(MATCH(M142,'CO2 equivalenten'!$C$4:$C$150,0)),0))</f>
        <v>0</v>
      </c>
      <c r="D142" s="78">
        <f>(HLOOKUP(CONCATENATE($C$3,-2),alles!$D$1:$AA$314,(MATCH(N142,alles!$C$1:$C$314,0)),0))*(HLOOKUP($C$3,'CO2 equivalenten'!$E$4:$Q$150,(MATCH(M142,'CO2 equivalenten'!$C$4:$C$150,0)),0))</f>
        <v>0</v>
      </c>
      <c r="E142" s="78">
        <f>(HLOOKUP(CONCATENATE($E$3,-1),alles!$D$1:$AA$314,(MATCH(N142,alles!$C$1:$C$314,0)),0))*(HLOOKUP($E$3,'CO2 equivalenten'!$E$4:$Q$150,(MATCH(M142,'CO2 equivalenten'!$C$4:$C$150,0)),0))</f>
        <v>0</v>
      </c>
      <c r="F142" s="78">
        <f>(HLOOKUP(CONCATENATE($E$3,-2),alles!$D$1:$AA$314,(MATCH(N142,alles!$C$1:$C$314,0)),0))*(HLOOKUP($E$3,'CO2 equivalenten'!$E$4:$Q$150,(MATCH(M142,'CO2 equivalenten'!$C$4:$C$150,0)),0))</f>
        <v>0</v>
      </c>
      <c r="G142" s="78">
        <f>(HLOOKUP(CONCATENATE($G$3,-1),alles!$D$1:$AA$314,(MATCH(N142,alles!$C$1:$C$314,0)),0))*(HLOOKUP($G$3,'CO2 equivalenten'!$E$4:$Q$150,(MATCH(M142,'CO2 equivalenten'!$C$4:$C$150,0)),0))</f>
        <v>0</v>
      </c>
      <c r="H142" s="78">
        <f>(HLOOKUP(CONCATENATE($G$3,-2),alles!$D$1:$AA$314,(MATCH(N142,alles!$C$1:$C$314,0)),0))*(HLOOKUP($G$3,'CO2 equivalenten'!$E$4:$Q$150,(MATCH(M142,'CO2 equivalenten'!$C$4:$C$150,0)),0))</f>
        <v>0</v>
      </c>
      <c r="I142" s="78">
        <f>(HLOOKUP(CONCATENATE($I$3,-1),alles!$D$1:$AA$314,(MATCH(N142,alles!$C$1:$C$314,0)),0))*(HLOOKUP($I$3,'CO2 equivalenten'!$E$4:$Q$150,(MATCH(M142,'CO2 equivalenten'!$C$4:$C$150,0)),0))</f>
        <v>0</v>
      </c>
      <c r="J142" s="78">
        <f>(HLOOKUP(CONCATENATE($I$3,-2),alles!$D$1:$AA$314,(MATCH(N142,alles!$C$1:$C$314,0)),0))*(HLOOKUP($I$3,'CO2 equivalenten'!$E$4:$Q$150,(MATCH(M142,'CO2 equivalenten'!$C$4:$C$150,0)),0))</f>
        <v>0</v>
      </c>
      <c r="K142" s="85" t="s">
        <v>135</v>
      </c>
      <c r="M142" s="39" t="s">
        <v>392</v>
      </c>
      <c r="N142" s="39" t="s">
        <v>392</v>
      </c>
    </row>
    <row r="143" spans="1:14" x14ac:dyDescent="0.15">
      <c r="A143" s="74" t="s">
        <v>55</v>
      </c>
      <c r="B143" s="85" t="s">
        <v>53</v>
      </c>
      <c r="C143" s="78">
        <f>(HLOOKUP(CONCATENATE($C$3,-1),alles!$D$1:$AA$314,(MATCH(N143,alles!$C$1:$C$314,0)),0))*(HLOOKUP($C$3,'CO2 equivalenten'!$E$4:$Q$150,(MATCH(M143,'CO2 equivalenten'!$C$4:$C$150,0)),0))</f>
        <v>0</v>
      </c>
      <c r="D143" s="78">
        <f>(HLOOKUP(CONCATENATE($C$3,-2),alles!$D$1:$AA$314,(MATCH(N143,alles!$C$1:$C$314,0)),0))*(HLOOKUP($C$3,'CO2 equivalenten'!$E$4:$Q$150,(MATCH(M143,'CO2 equivalenten'!$C$4:$C$150,0)),0))</f>
        <v>0</v>
      </c>
      <c r="E143" s="78">
        <f>(HLOOKUP(CONCATENATE($E$3,-1),alles!$D$1:$AA$314,(MATCH(N143,alles!$C$1:$C$314,0)),0))*(HLOOKUP($E$3,'CO2 equivalenten'!$E$4:$Q$150,(MATCH(M143,'CO2 equivalenten'!$C$4:$C$150,0)),0))</f>
        <v>0</v>
      </c>
      <c r="F143" s="78">
        <f>(HLOOKUP(CONCATENATE($E$3,-2),alles!$D$1:$AA$314,(MATCH(N143,alles!$C$1:$C$314,0)),0))*(HLOOKUP($E$3,'CO2 equivalenten'!$E$4:$Q$150,(MATCH(M143,'CO2 equivalenten'!$C$4:$C$150,0)),0))</f>
        <v>0</v>
      </c>
      <c r="G143" s="78">
        <f>(HLOOKUP(CONCATENATE($G$3,-1),alles!$D$1:$AA$314,(MATCH(N143,alles!$C$1:$C$314,0)),0))*(HLOOKUP($G$3,'CO2 equivalenten'!$E$4:$Q$150,(MATCH(M143,'CO2 equivalenten'!$C$4:$C$150,0)),0))</f>
        <v>0</v>
      </c>
      <c r="H143" s="78">
        <f>(HLOOKUP(CONCATENATE($G$3,-2),alles!$D$1:$AA$314,(MATCH(N143,alles!$C$1:$C$314,0)),0))*(HLOOKUP($G$3,'CO2 equivalenten'!$E$4:$Q$150,(MATCH(M143,'CO2 equivalenten'!$C$4:$C$150,0)),0))</f>
        <v>0</v>
      </c>
      <c r="I143" s="78">
        <f>(HLOOKUP(CONCATENATE($I$3,-1),alles!$D$1:$AA$314,(MATCH(N143,alles!$C$1:$C$314,0)),0))*(HLOOKUP($I$3,'CO2 equivalenten'!$E$4:$Q$150,(MATCH(M143,'CO2 equivalenten'!$C$4:$C$150,0)),0))</f>
        <v>0</v>
      </c>
      <c r="J143" s="78">
        <f>(HLOOKUP(CONCATENATE($I$3,-2),alles!$D$1:$AA$314,(MATCH(N143,alles!$C$1:$C$314,0)),0))*(HLOOKUP($I$3,'CO2 equivalenten'!$E$4:$Q$150,(MATCH(M143,'CO2 equivalenten'!$C$4:$C$150,0)),0))</f>
        <v>0</v>
      </c>
      <c r="K143" s="85" t="s">
        <v>135</v>
      </c>
      <c r="M143" s="39" t="s">
        <v>393</v>
      </c>
      <c r="N143" s="39" t="s">
        <v>393</v>
      </c>
    </row>
    <row r="144" spans="1:14" ht="12" x14ac:dyDescent="0.15">
      <c r="A144" s="111" t="s">
        <v>459</v>
      </c>
      <c r="B144" s="97" t="s">
        <v>31</v>
      </c>
      <c r="C144" s="695">
        <f>SUM(C145:C148)</f>
        <v>0</v>
      </c>
      <c r="D144" s="696">
        <f t="shared" ref="D144" si="32">SUM(D145:D148)</f>
        <v>0</v>
      </c>
      <c r="E144" s="696">
        <f t="shared" ref="E144" si="33">SUM(E145:E148)</f>
        <v>0</v>
      </c>
      <c r="F144" s="696">
        <f t="shared" ref="F144" si="34">SUM(F145:F148)</f>
        <v>0</v>
      </c>
      <c r="G144" s="696">
        <f t="shared" ref="G144" si="35">SUM(G145:G148)</f>
        <v>0</v>
      </c>
      <c r="H144" s="696">
        <f t="shared" ref="H144" si="36">SUM(H145:H148)</f>
        <v>0</v>
      </c>
      <c r="I144" s="696">
        <f t="shared" ref="I144" si="37">SUM(I145:I148)</f>
        <v>0</v>
      </c>
      <c r="J144" s="695">
        <f t="shared" ref="J144" si="38">SUM(J145:J148)</f>
        <v>0</v>
      </c>
      <c r="K144" s="99" t="s">
        <v>136</v>
      </c>
    </row>
    <row r="145" spans="1:11" hidden="1" x14ac:dyDescent="0.15">
      <c r="A145" s="106"/>
      <c r="B145" s="107"/>
      <c r="C145" s="72"/>
      <c r="D145" s="108"/>
      <c r="E145" s="109"/>
      <c r="F145" s="108"/>
      <c r="G145" s="109"/>
      <c r="H145" s="108"/>
      <c r="I145" s="109"/>
      <c r="J145" s="108"/>
      <c r="K145" s="73"/>
    </row>
    <row r="146" spans="1:11" hidden="1" x14ac:dyDescent="0.15">
      <c r="A146" s="106"/>
      <c r="B146" s="107"/>
      <c r="C146" s="72"/>
      <c r="D146" s="108"/>
      <c r="E146" s="109"/>
      <c r="F146" s="108"/>
      <c r="G146" s="109"/>
      <c r="H146" s="108"/>
      <c r="I146" s="109"/>
      <c r="J146" s="108"/>
      <c r="K146" s="73"/>
    </row>
    <row r="147" spans="1:11" hidden="1" x14ac:dyDescent="0.15">
      <c r="A147" s="106"/>
      <c r="B147" s="107"/>
      <c r="C147" s="72"/>
      <c r="D147" s="108"/>
      <c r="E147" s="109"/>
      <c r="F147" s="108"/>
      <c r="G147" s="109"/>
      <c r="H147" s="108"/>
      <c r="I147" s="109"/>
      <c r="J147" s="108"/>
      <c r="K147" s="73"/>
    </row>
    <row r="148" spans="1:11" hidden="1" x14ac:dyDescent="0.15">
      <c r="A148" s="106"/>
      <c r="B148" s="107"/>
      <c r="C148" s="72"/>
      <c r="D148" s="108"/>
      <c r="E148" s="109"/>
      <c r="F148" s="108"/>
      <c r="G148" s="109"/>
      <c r="H148" s="108"/>
      <c r="I148" s="109"/>
      <c r="J148" s="108"/>
      <c r="K148" s="73"/>
    </row>
    <row r="149" spans="1:11" x14ac:dyDescent="0.15">
      <c r="A149" s="536"/>
      <c r="B149" s="537"/>
      <c r="C149" s="72"/>
      <c r="D149" s="72"/>
      <c r="E149" s="72"/>
      <c r="F149" s="72"/>
      <c r="G149" s="72"/>
      <c r="H149" s="72"/>
      <c r="I149" s="72"/>
      <c r="J149" s="72"/>
      <c r="K149" s="72"/>
    </row>
    <row r="150" spans="1:11" ht="13" customHeight="1" x14ac:dyDescent="0.15">
      <c r="A150" s="726" t="s">
        <v>65</v>
      </c>
      <c r="B150" s="402"/>
      <c r="C150" s="728">
        <f>C3</f>
        <v>2021</v>
      </c>
      <c r="D150" s="729"/>
      <c r="E150" s="730">
        <f>E3</f>
        <v>2023</v>
      </c>
      <c r="F150" s="731"/>
      <c r="G150" s="730">
        <f>G3</f>
        <v>2024</v>
      </c>
      <c r="H150" s="730"/>
      <c r="I150" s="732">
        <f>I3</f>
        <v>2025</v>
      </c>
      <c r="J150" s="731"/>
      <c r="K150" s="112"/>
    </row>
    <row r="151" spans="1:11" ht="12" thickBot="1" x14ac:dyDescent="0.2">
      <c r="A151" s="727"/>
      <c r="B151" s="403"/>
      <c r="C151" s="83" t="s">
        <v>18</v>
      </c>
      <c r="D151" s="84" t="s">
        <v>19</v>
      </c>
      <c r="E151" s="113" t="s">
        <v>18</v>
      </c>
      <c r="F151" s="114" t="s">
        <v>19</v>
      </c>
      <c r="G151" s="113" t="s">
        <v>18</v>
      </c>
      <c r="H151" s="114" t="s">
        <v>19</v>
      </c>
      <c r="I151" s="115" t="s">
        <v>18</v>
      </c>
      <c r="J151" s="114" t="s">
        <v>19</v>
      </c>
      <c r="K151" s="116" t="s">
        <v>20</v>
      </c>
    </row>
    <row r="152" spans="1:11" ht="24" customHeight="1" x14ac:dyDescent="0.15">
      <c r="A152" s="111" t="s">
        <v>446</v>
      </c>
      <c r="B152" s="538" t="s">
        <v>31</v>
      </c>
      <c r="C152" s="695">
        <f>SUM(C153:C156)</f>
        <v>0</v>
      </c>
      <c r="D152" s="696">
        <f t="shared" ref="D152" si="39">SUM(D153:D156)</f>
        <v>0</v>
      </c>
      <c r="E152" s="696">
        <f t="shared" ref="E152" si="40">SUM(E153:E156)</f>
        <v>0</v>
      </c>
      <c r="F152" s="696">
        <f t="shared" ref="F152" si="41">SUM(F153:F156)</f>
        <v>0</v>
      </c>
      <c r="G152" s="696">
        <f t="shared" ref="G152" si="42">SUM(G153:G156)</f>
        <v>0</v>
      </c>
      <c r="H152" s="696">
        <f t="shared" ref="H152" si="43">SUM(H153:H156)</f>
        <v>0</v>
      </c>
      <c r="I152" s="696">
        <f t="shared" ref="I152" si="44">SUM(I153:I156)</f>
        <v>0</v>
      </c>
      <c r="J152" s="695">
        <f t="shared" ref="J152" si="45">SUM(J153:J156)</f>
        <v>0</v>
      </c>
      <c r="K152" s="99" t="s">
        <v>136</v>
      </c>
    </row>
    <row r="153" spans="1:11" hidden="1" x14ac:dyDescent="0.15">
      <c r="A153" s="106"/>
      <c r="B153" s="107"/>
      <c r="C153" s="695"/>
      <c r="D153" s="696"/>
      <c r="E153" s="696"/>
      <c r="F153" s="696"/>
      <c r="G153" s="696"/>
      <c r="H153" s="696"/>
      <c r="I153" s="696"/>
      <c r="J153" s="695"/>
      <c r="K153" s="73"/>
    </row>
    <row r="154" spans="1:11" hidden="1" x14ac:dyDescent="0.15">
      <c r="A154" s="106"/>
      <c r="B154" s="107"/>
      <c r="C154" s="695"/>
      <c r="D154" s="696"/>
      <c r="E154" s="696"/>
      <c r="F154" s="696"/>
      <c r="G154" s="696"/>
      <c r="H154" s="696"/>
      <c r="I154" s="696"/>
      <c r="J154" s="695"/>
      <c r="K154" s="73"/>
    </row>
    <row r="155" spans="1:11" hidden="1" x14ac:dyDescent="0.15">
      <c r="A155" s="106"/>
      <c r="B155" s="107"/>
      <c r="C155" s="695"/>
      <c r="D155" s="696"/>
      <c r="E155" s="696"/>
      <c r="F155" s="696"/>
      <c r="G155" s="696"/>
      <c r="H155" s="696"/>
      <c r="I155" s="696"/>
      <c r="J155" s="695"/>
      <c r="K155" s="73"/>
    </row>
    <row r="156" spans="1:11" hidden="1" x14ac:dyDescent="0.15">
      <c r="A156" s="106"/>
      <c r="B156" s="107"/>
      <c r="C156" s="695"/>
      <c r="D156" s="696"/>
      <c r="E156" s="696"/>
      <c r="F156" s="696"/>
      <c r="G156" s="696"/>
      <c r="H156" s="696"/>
      <c r="I156" s="696"/>
      <c r="J156" s="695"/>
      <c r="K156" s="73"/>
    </row>
    <row r="157" spans="1:11" ht="24" x14ac:dyDescent="0.15">
      <c r="A157" s="111" t="s">
        <v>447</v>
      </c>
      <c r="B157" s="97" t="s">
        <v>31</v>
      </c>
      <c r="C157" s="695">
        <f>SUM(C158:C161)</f>
        <v>0</v>
      </c>
      <c r="D157" s="696">
        <f t="shared" ref="D157" si="46">SUM(D158:D161)</f>
        <v>0</v>
      </c>
      <c r="E157" s="696">
        <f t="shared" ref="E157" si="47">SUM(E158:E161)</f>
        <v>0</v>
      </c>
      <c r="F157" s="696">
        <f t="shared" ref="F157" si="48">SUM(F158:F161)</f>
        <v>0</v>
      </c>
      <c r="G157" s="696">
        <f t="shared" ref="G157" si="49">SUM(G158:G161)</f>
        <v>0</v>
      </c>
      <c r="H157" s="696">
        <f t="shared" ref="H157" si="50">SUM(H158:H161)</f>
        <v>0</v>
      </c>
      <c r="I157" s="696">
        <f t="shared" ref="I157" si="51">SUM(I158:I161)</f>
        <v>0</v>
      </c>
      <c r="J157" s="695">
        <f t="shared" ref="J157" si="52">SUM(J158:J161)</f>
        <v>0</v>
      </c>
      <c r="K157" s="99" t="s">
        <v>136</v>
      </c>
    </row>
    <row r="158" spans="1:11" hidden="1" x14ac:dyDescent="0.15">
      <c r="A158" s="106"/>
      <c r="B158" s="107"/>
      <c r="C158" s="695"/>
      <c r="D158" s="696"/>
      <c r="E158" s="696"/>
      <c r="F158" s="696"/>
      <c r="G158" s="696"/>
      <c r="H158" s="696"/>
      <c r="I158" s="696"/>
      <c r="J158" s="695"/>
      <c r="K158" s="73"/>
    </row>
    <row r="159" spans="1:11" hidden="1" x14ac:dyDescent="0.15">
      <c r="A159" s="106"/>
      <c r="B159" s="107"/>
      <c r="C159" s="695"/>
      <c r="D159" s="696"/>
      <c r="E159" s="696"/>
      <c r="F159" s="696"/>
      <c r="G159" s="696"/>
      <c r="H159" s="696"/>
      <c r="I159" s="696"/>
      <c r="J159" s="695"/>
      <c r="K159" s="73"/>
    </row>
    <row r="160" spans="1:11" hidden="1" x14ac:dyDescent="0.15">
      <c r="A160" s="106"/>
      <c r="B160" s="107"/>
      <c r="C160" s="695"/>
      <c r="D160" s="696"/>
      <c r="E160" s="696"/>
      <c r="F160" s="696"/>
      <c r="G160" s="696"/>
      <c r="H160" s="696"/>
      <c r="I160" s="696"/>
      <c r="J160" s="695"/>
      <c r="K160" s="73"/>
    </row>
    <row r="161" spans="1:11" hidden="1" x14ac:dyDescent="0.15">
      <c r="A161" s="106"/>
      <c r="B161" s="107"/>
      <c r="C161" s="695"/>
      <c r="D161" s="696"/>
      <c r="E161" s="696"/>
      <c r="F161" s="696"/>
      <c r="G161" s="696"/>
      <c r="H161" s="696"/>
      <c r="I161" s="696"/>
      <c r="J161" s="695"/>
      <c r="K161" s="73"/>
    </row>
    <row r="162" spans="1:11" ht="24" x14ac:dyDescent="0.15">
      <c r="A162" s="111" t="s">
        <v>460</v>
      </c>
      <c r="B162" s="97" t="s">
        <v>31</v>
      </c>
      <c r="C162" s="695">
        <f>SUM(C163:C166)</f>
        <v>0</v>
      </c>
      <c r="D162" s="696">
        <f t="shared" ref="D162:J162" si="53">SUM(D163:D166)</f>
        <v>0</v>
      </c>
      <c r="E162" s="696">
        <f t="shared" si="53"/>
        <v>0</v>
      </c>
      <c r="F162" s="696">
        <f t="shared" si="53"/>
        <v>0</v>
      </c>
      <c r="G162" s="696">
        <f t="shared" si="53"/>
        <v>0</v>
      </c>
      <c r="H162" s="696">
        <f t="shared" si="53"/>
        <v>0</v>
      </c>
      <c r="I162" s="696">
        <f t="shared" si="53"/>
        <v>0</v>
      </c>
      <c r="J162" s="695">
        <f t="shared" si="53"/>
        <v>0</v>
      </c>
      <c r="K162" s="99" t="s">
        <v>136</v>
      </c>
    </row>
    <row r="163" spans="1:11" hidden="1" x14ac:dyDescent="0.15">
      <c r="A163" s="106"/>
      <c r="B163" s="107"/>
      <c r="C163" s="695"/>
      <c r="D163" s="696"/>
      <c r="E163" s="696"/>
      <c r="F163" s="696"/>
      <c r="G163" s="696"/>
      <c r="H163" s="696"/>
      <c r="I163" s="696"/>
      <c r="J163" s="695"/>
      <c r="K163" s="73"/>
    </row>
    <row r="164" spans="1:11" hidden="1" x14ac:dyDescent="0.15">
      <c r="A164" s="106"/>
      <c r="B164" s="107"/>
      <c r="C164" s="695"/>
      <c r="D164" s="696"/>
      <c r="E164" s="696"/>
      <c r="F164" s="696"/>
      <c r="G164" s="696"/>
      <c r="H164" s="696"/>
      <c r="I164" s="696"/>
      <c r="J164" s="695"/>
      <c r="K164" s="73"/>
    </row>
    <row r="165" spans="1:11" hidden="1" x14ac:dyDescent="0.15">
      <c r="A165" s="106"/>
      <c r="B165" s="107"/>
      <c r="C165" s="695"/>
      <c r="D165" s="696"/>
      <c r="E165" s="696"/>
      <c r="F165" s="696"/>
      <c r="G165" s="696"/>
      <c r="H165" s="696"/>
      <c r="I165" s="696"/>
      <c r="J165" s="695"/>
      <c r="K165" s="73"/>
    </row>
    <row r="166" spans="1:11" hidden="1" x14ac:dyDescent="0.15">
      <c r="A166" s="106"/>
      <c r="B166" s="107"/>
      <c r="C166" s="695"/>
      <c r="D166" s="696"/>
      <c r="E166" s="696"/>
      <c r="F166" s="696"/>
      <c r="G166" s="696"/>
      <c r="H166" s="696"/>
      <c r="I166" s="696"/>
      <c r="J166" s="695"/>
      <c r="K166" s="73"/>
    </row>
    <row r="167" spans="1:11" ht="24" x14ac:dyDescent="0.15">
      <c r="A167" s="111" t="s">
        <v>461</v>
      </c>
      <c r="B167" s="97" t="s">
        <v>31</v>
      </c>
      <c r="C167" s="695">
        <f>SUM(C168:C171)</f>
        <v>0</v>
      </c>
      <c r="D167" s="696">
        <f t="shared" ref="D167" si="54">SUM(D168:D171)</f>
        <v>0</v>
      </c>
      <c r="E167" s="696">
        <f t="shared" ref="E167" si="55">SUM(E168:E171)</f>
        <v>0</v>
      </c>
      <c r="F167" s="696">
        <f t="shared" ref="F167" si="56">SUM(F168:F171)</f>
        <v>0</v>
      </c>
      <c r="G167" s="696">
        <f t="shared" ref="G167" si="57">SUM(G168:G171)</f>
        <v>0</v>
      </c>
      <c r="H167" s="696">
        <f t="shared" ref="H167" si="58">SUM(H168:H171)</f>
        <v>0</v>
      </c>
      <c r="I167" s="696">
        <f t="shared" ref="I167" si="59">SUM(I168:I171)</f>
        <v>0</v>
      </c>
      <c r="J167" s="695">
        <f t="shared" ref="J167" si="60">SUM(J168:J171)</f>
        <v>0</v>
      </c>
      <c r="K167" s="99" t="s">
        <v>136</v>
      </c>
    </row>
    <row r="168" spans="1:11" hidden="1" x14ac:dyDescent="0.15">
      <c r="A168" s="106"/>
      <c r="B168" s="107"/>
      <c r="C168" s="695"/>
      <c r="D168" s="696"/>
      <c r="E168" s="696"/>
      <c r="F168" s="696"/>
      <c r="G168" s="696"/>
      <c r="H168" s="696"/>
      <c r="I168" s="696"/>
      <c r="J168" s="695"/>
      <c r="K168" s="73"/>
    </row>
    <row r="169" spans="1:11" hidden="1" x14ac:dyDescent="0.15">
      <c r="A169" s="106"/>
      <c r="B169" s="107"/>
      <c r="C169" s="695"/>
      <c r="D169" s="696"/>
      <c r="E169" s="696"/>
      <c r="F169" s="696"/>
      <c r="G169" s="696"/>
      <c r="H169" s="696"/>
      <c r="I169" s="696"/>
      <c r="J169" s="695"/>
      <c r="K169" s="73"/>
    </row>
    <row r="170" spans="1:11" hidden="1" x14ac:dyDescent="0.15">
      <c r="A170" s="106"/>
      <c r="B170" s="107"/>
      <c r="C170" s="695"/>
      <c r="D170" s="696"/>
      <c r="E170" s="696"/>
      <c r="F170" s="696"/>
      <c r="G170" s="696"/>
      <c r="H170" s="696"/>
      <c r="I170" s="696"/>
      <c r="J170" s="695"/>
      <c r="K170" s="73"/>
    </row>
    <row r="171" spans="1:11" hidden="1" x14ac:dyDescent="0.15">
      <c r="A171" s="106"/>
      <c r="B171" s="107"/>
      <c r="C171" s="695"/>
      <c r="D171" s="696"/>
      <c r="E171" s="696"/>
      <c r="F171" s="696"/>
      <c r="G171" s="696"/>
      <c r="H171" s="696"/>
      <c r="I171" s="696"/>
      <c r="J171" s="695"/>
      <c r="K171" s="73"/>
    </row>
    <row r="172" spans="1:11" ht="11" customHeight="1" x14ac:dyDescent="0.15">
      <c r="A172" s="111" t="s">
        <v>459</v>
      </c>
      <c r="B172" s="97" t="s">
        <v>31</v>
      </c>
      <c r="C172" s="695">
        <f>SUM(C173:C176)</f>
        <v>0</v>
      </c>
      <c r="D172" s="696">
        <f t="shared" ref="D172" si="61">SUM(D173:D176)</f>
        <v>0</v>
      </c>
      <c r="E172" s="696">
        <f t="shared" ref="E172" si="62">SUM(E173:E176)</f>
        <v>0</v>
      </c>
      <c r="F172" s="696">
        <f t="shared" ref="F172" si="63">SUM(F173:F176)</f>
        <v>0</v>
      </c>
      <c r="G172" s="696">
        <f t="shared" ref="G172" si="64">SUM(G173:G176)</f>
        <v>0</v>
      </c>
      <c r="H172" s="696">
        <f t="shared" ref="H172" si="65">SUM(H173:H176)</f>
        <v>0</v>
      </c>
      <c r="I172" s="696">
        <f t="shared" ref="I172" si="66">SUM(I173:I176)</f>
        <v>0</v>
      </c>
      <c r="J172" s="695">
        <f t="shared" ref="J172" si="67">SUM(J173:J176)</f>
        <v>0</v>
      </c>
      <c r="K172" s="99" t="s">
        <v>136</v>
      </c>
    </row>
    <row r="173" spans="1:11" hidden="1" x14ac:dyDescent="0.15">
      <c r="A173" s="106"/>
      <c r="B173" s="107"/>
      <c r="C173" s="695"/>
      <c r="D173" s="696"/>
      <c r="E173" s="696"/>
      <c r="F173" s="696"/>
      <c r="G173" s="696"/>
      <c r="H173" s="696"/>
      <c r="I173" s="696"/>
      <c r="J173" s="695"/>
      <c r="K173" s="73"/>
    </row>
    <row r="174" spans="1:11" hidden="1" x14ac:dyDescent="0.15">
      <c r="A174" s="106"/>
      <c r="B174" s="107"/>
      <c r="C174" s="695"/>
      <c r="D174" s="696"/>
      <c r="E174" s="696"/>
      <c r="F174" s="696"/>
      <c r="G174" s="696"/>
      <c r="H174" s="696"/>
      <c r="I174" s="696"/>
      <c r="J174" s="695"/>
      <c r="K174" s="73"/>
    </row>
    <row r="175" spans="1:11" hidden="1" x14ac:dyDescent="0.15">
      <c r="A175" s="106"/>
      <c r="B175" s="107"/>
      <c r="C175" s="695"/>
      <c r="D175" s="696"/>
      <c r="E175" s="696"/>
      <c r="F175" s="696"/>
      <c r="G175" s="696"/>
      <c r="H175" s="696"/>
      <c r="I175" s="696"/>
      <c r="J175" s="695"/>
      <c r="K175" s="73"/>
    </row>
    <row r="176" spans="1:11" hidden="1" x14ac:dyDescent="0.15">
      <c r="A176" s="106"/>
      <c r="B176" s="107"/>
      <c r="C176" s="695"/>
      <c r="D176" s="696"/>
      <c r="E176" s="696"/>
      <c r="F176" s="696"/>
      <c r="G176" s="696"/>
      <c r="H176" s="696"/>
      <c r="I176" s="696"/>
      <c r="J176" s="695"/>
      <c r="K176" s="73"/>
    </row>
    <row r="177" spans="1:14" ht="12" x14ac:dyDescent="0.15">
      <c r="A177" s="111" t="s">
        <v>449</v>
      </c>
      <c r="B177" s="97" t="s">
        <v>31</v>
      </c>
      <c r="C177" s="695">
        <f>SUM(C178:C181)</f>
        <v>0</v>
      </c>
      <c r="D177" s="696">
        <f t="shared" ref="D177" si="68">SUM(D178:D181)</f>
        <v>0</v>
      </c>
      <c r="E177" s="696">
        <f t="shared" ref="E177" si="69">SUM(E178:E181)</f>
        <v>0</v>
      </c>
      <c r="F177" s="696">
        <f t="shared" ref="F177" si="70">SUM(F178:F181)</f>
        <v>0</v>
      </c>
      <c r="G177" s="696">
        <f t="shared" ref="G177" si="71">SUM(G178:G181)</f>
        <v>0</v>
      </c>
      <c r="H177" s="696">
        <f t="shared" ref="H177" si="72">SUM(H178:H181)</f>
        <v>0</v>
      </c>
      <c r="I177" s="696">
        <f t="shared" ref="I177" si="73">SUM(I178:I181)</f>
        <v>0</v>
      </c>
      <c r="J177" s="695">
        <f t="shared" ref="J177" si="74">SUM(J178:J181)</f>
        <v>0</v>
      </c>
      <c r="K177" s="99" t="s">
        <v>136</v>
      </c>
    </row>
    <row r="178" spans="1:14" hidden="1" x14ac:dyDescent="0.15">
      <c r="A178" s="106"/>
      <c r="B178" s="107"/>
      <c r="C178" s="695"/>
      <c r="D178" s="696"/>
      <c r="E178" s="696"/>
      <c r="F178" s="696"/>
      <c r="G178" s="696"/>
      <c r="H178" s="696"/>
      <c r="I178" s="696"/>
      <c r="J178" s="695"/>
      <c r="K178" s="73"/>
    </row>
    <row r="179" spans="1:14" hidden="1" x14ac:dyDescent="0.15">
      <c r="A179" s="106"/>
      <c r="B179" s="107"/>
      <c r="C179" s="695"/>
      <c r="D179" s="696"/>
      <c r="E179" s="696"/>
      <c r="F179" s="696"/>
      <c r="G179" s="696"/>
      <c r="H179" s="696"/>
      <c r="I179" s="696"/>
      <c r="J179" s="695"/>
      <c r="K179" s="73"/>
    </row>
    <row r="180" spans="1:14" hidden="1" x14ac:dyDescent="0.15">
      <c r="A180" s="106"/>
      <c r="B180" s="107"/>
      <c r="C180" s="695"/>
      <c r="D180" s="696"/>
      <c r="E180" s="696"/>
      <c r="F180" s="696"/>
      <c r="G180" s="696"/>
      <c r="H180" s="696"/>
      <c r="I180" s="696"/>
      <c r="J180" s="695"/>
      <c r="K180" s="73"/>
    </row>
    <row r="181" spans="1:14" hidden="1" x14ac:dyDescent="0.15">
      <c r="A181" s="106"/>
      <c r="B181" s="107"/>
      <c r="C181" s="695"/>
      <c r="D181" s="696"/>
      <c r="E181" s="696"/>
      <c r="F181" s="696"/>
      <c r="G181" s="696"/>
      <c r="H181" s="696"/>
      <c r="I181" s="696"/>
      <c r="J181" s="695"/>
      <c r="K181" s="73"/>
    </row>
    <row r="182" spans="1:14" ht="12" x14ac:dyDescent="0.15">
      <c r="A182" s="111" t="s">
        <v>450</v>
      </c>
      <c r="B182" s="97" t="s">
        <v>31</v>
      </c>
      <c r="C182" s="695">
        <f>SUM(C183:C186)</f>
        <v>0</v>
      </c>
      <c r="D182" s="696">
        <f t="shared" ref="D182" si="75">SUM(D183:D186)</f>
        <v>0</v>
      </c>
      <c r="E182" s="696">
        <f t="shared" ref="E182" si="76">SUM(E183:E186)</f>
        <v>0</v>
      </c>
      <c r="F182" s="696">
        <f t="shared" ref="F182" si="77">SUM(F183:F186)</f>
        <v>0</v>
      </c>
      <c r="G182" s="696">
        <f t="shared" ref="G182" si="78">SUM(G183:G186)</f>
        <v>0</v>
      </c>
      <c r="H182" s="696">
        <f t="shared" ref="H182" si="79">SUM(H183:H186)</f>
        <v>0</v>
      </c>
      <c r="I182" s="696">
        <f t="shared" ref="I182" si="80">SUM(I183:I186)</f>
        <v>0</v>
      </c>
      <c r="J182" s="695">
        <f t="shared" ref="J182" si="81">SUM(J183:J186)</f>
        <v>0</v>
      </c>
      <c r="K182" s="99" t="s">
        <v>136</v>
      </c>
    </row>
    <row r="183" spans="1:14" hidden="1" x14ac:dyDescent="0.15">
      <c r="A183" s="106"/>
      <c r="B183" s="107"/>
      <c r="C183" s="72"/>
      <c r="D183" s="73"/>
      <c r="E183" s="73"/>
      <c r="F183" s="73"/>
      <c r="G183" s="73"/>
      <c r="H183" s="73"/>
      <c r="I183" s="73"/>
      <c r="J183" s="72"/>
      <c r="K183" s="73"/>
    </row>
    <row r="184" spans="1:14" hidden="1" x14ac:dyDescent="0.15">
      <c r="A184" s="106"/>
      <c r="B184" s="107"/>
      <c r="C184" s="72"/>
      <c r="D184" s="73"/>
      <c r="E184" s="73"/>
      <c r="F184" s="73"/>
      <c r="G184" s="73"/>
      <c r="H184" s="73"/>
      <c r="I184" s="73"/>
      <c r="J184" s="72"/>
      <c r="K184" s="73"/>
    </row>
    <row r="185" spans="1:14" hidden="1" x14ac:dyDescent="0.15">
      <c r="A185" s="106"/>
      <c r="B185" s="107"/>
      <c r="C185" s="72"/>
      <c r="D185" s="73"/>
      <c r="E185" s="73"/>
      <c r="F185" s="73"/>
      <c r="G185" s="73"/>
      <c r="H185" s="73"/>
      <c r="I185" s="73"/>
      <c r="J185" s="72"/>
      <c r="K185" s="73"/>
    </row>
    <row r="186" spans="1:14" hidden="1" x14ac:dyDescent="0.15">
      <c r="A186" s="106"/>
      <c r="B186" s="107"/>
      <c r="C186" s="72"/>
      <c r="D186" s="73"/>
      <c r="E186" s="73"/>
      <c r="F186" s="73"/>
      <c r="G186" s="73"/>
      <c r="H186" s="73"/>
      <c r="I186" s="73"/>
      <c r="J186" s="72"/>
      <c r="K186" s="73"/>
    </row>
    <row r="187" spans="1:14" x14ac:dyDescent="0.15">
      <c r="A187" s="554"/>
      <c r="B187" s="68"/>
      <c r="C187" s="75"/>
      <c r="D187" s="75"/>
      <c r="E187" s="75"/>
      <c r="F187" s="75"/>
      <c r="G187" s="75"/>
      <c r="H187" s="75"/>
      <c r="I187" s="75"/>
      <c r="J187" s="75"/>
      <c r="K187" s="68"/>
    </row>
    <row r="188" spans="1:14" x14ac:dyDescent="0.15">
      <c r="A188" s="554"/>
      <c r="B188" s="68"/>
      <c r="C188" s="75"/>
      <c r="D188" s="75"/>
      <c r="E188" s="75"/>
      <c r="F188" s="75"/>
      <c r="G188" s="75"/>
      <c r="H188" s="75"/>
      <c r="I188" s="75"/>
      <c r="J188" s="75"/>
      <c r="K188" s="68"/>
    </row>
    <row r="189" spans="1:14" ht="16" customHeight="1" x14ac:dyDescent="0.15">
      <c r="A189" s="554"/>
      <c r="B189" s="554"/>
      <c r="C189" s="554"/>
      <c r="D189" s="554"/>
      <c r="E189" s="554"/>
      <c r="F189" s="554"/>
      <c r="G189" s="554"/>
      <c r="H189" s="554"/>
      <c r="I189" s="554"/>
      <c r="J189" s="554"/>
      <c r="K189" s="554"/>
      <c r="L189" s="554"/>
      <c r="M189" s="554"/>
      <c r="N189" s="554"/>
    </row>
    <row r="190" spans="1:14" ht="16" customHeight="1" x14ac:dyDescent="0.15">
      <c r="A190" s="554"/>
      <c r="B190" s="554"/>
      <c r="C190" s="554"/>
      <c r="D190" s="554"/>
      <c r="E190" s="554"/>
      <c r="F190" s="554"/>
      <c r="G190" s="554"/>
      <c r="H190" s="554"/>
      <c r="I190" s="554"/>
      <c r="J190" s="554"/>
      <c r="K190" s="554"/>
      <c r="L190" s="554"/>
      <c r="M190" s="554"/>
      <c r="N190" s="554"/>
    </row>
    <row r="191" spans="1:14" ht="16" customHeight="1" x14ac:dyDescent="0.15">
      <c r="A191" s="554"/>
      <c r="B191" s="554"/>
      <c r="C191" s="554"/>
      <c r="D191" s="554"/>
      <c r="E191" s="554"/>
      <c r="F191" s="554"/>
      <c r="G191" s="554"/>
      <c r="H191" s="554"/>
      <c r="I191" s="554"/>
      <c r="J191" s="554"/>
      <c r="K191" s="554"/>
      <c r="L191" s="554"/>
      <c r="M191" s="554"/>
      <c r="N191" s="554"/>
    </row>
    <row r="192" spans="1:14" ht="16" customHeight="1" x14ac:dyDescent="0.15">
      <c r="A192" s="554"/>
      <c r="B192" s="554"/>
      <c r="C192" s="554"/>
      <c r="D192" s="554"/>
      <c r="E192" s="554"/>
      <c r="F192" s="554"/>
      <c r="G192" s="554"/>
      <c r="H192" s="554"/>
      <c r="I192" s="554"/>
      <c r="J192" s="554"/>
      <c r="K192" s="554"/>
      <c r="L192" s="554"/>
      <c r="M192" s="554"/>
      <c r="N192" s="554"/>
    </row>
    <row r="193" spans="1:14" ht="16" customHeight="1" x14ac:dyDescent="0.15">
      <c r="A193" s="554"/>
      <c r="B193" s="554"/>
      <c r="C193" s="554"/>
      <c r="D193" s="554"/>
      <c r="E193" s="554"/>
      <c r="F193" s="554"/>
      <c r="G193" s="554"/>
      <c r="H193" s="554"/>
      <c r="I193" s="554"/>
      <c r="J193" s="554"/>
      <c r="K193" s="554"/>
      <c r="L193" s="554"/>
      <c r="M193" s="554"/>
      <c r="N193" s="554"/>
    </row>
    <row r="194" spans="1:14" ht="16" customHeight="1" x14ac:dyDescent="0.15">
      <c r="A194" s="554"/>
      <c r="B194" s="554"/>
      <c r="C194" s="554"/>
      <c r="D194" s="554"/>
      <c r="E194" s="554"/>
      <c r="F194" s="554"/>
      <c r="G194" s="554"/>
      <c r="H194" s="554"/>
      <c r="I194" s="554"/>
      <c r="J194" s="554"/>
      <c r="K194" s="554"/>
      <c r="L194" s="554"/>
      <c r="M194" s="554"/>
      <c r="N194" s="554"/>
    </row>
    <row r="195" spans="1:14" ht="16" customHeight="1" x14ac:dyDescent="0.15">
      <c r="A195" s="554"/>
      <c r="B195" s="554"/>
      <c r="C195" s="554"/>
      <c r="D195" s="554"/>
      <c r="E195" s="554"/>
      <c r="F195" s="554"/>
      <c r="G195" s="554"/>
      <c r="H195" s="554"/>
      <c r="I195" s="554"/>
      <c r="J195" s="554"/>
      <c r="K195" s="554"/>
      <c r="L195" s="554"/>
      <c r="M195" s="554"/>
      <c r="N195" s="554"/>
    </row>
    <row r="196" spans="1:14" ht="16" customHeight="1" x14ac:dyDescent="0.15">
      <c r="A196" s="554"/>
      <c r="B196" s="554"/>
      <c r="C196" s="554"/>
      <c r="D196" s="554"/>
      <c r="E196" s="554"/>
      <c r="F196" s="554"/>
      <c r="G196" s="554"/>
      <c r="H196" s="554"/>
      <c r="I196" s="554"/>
      <c r="J196" s="554"/>
      <c r="K196" s="554"/>
      <c r="L196" s="554"/>
      <c r="M196" s="554"/>
      <c r="N196" s="554"/>
    </row>
    <row r="197" spans="1:14" ht="16" customHeight="1" x14ac:dyDescent="0.15">
      <c r="A197" s="554"/>
      <c r="B197" s="554"/>
      <c r="C197" s="554"/>
      <c r="D197" s="554"/>
      <c r="E197" s="554"/>
      <c r="F197" s="554"/>
      <c r="G197" s="554"/>
      <c r="H197" s="554"/>
      <c r="I197" s="554"/>
      <c r="J197" s="554"/>
      <c r="K197" s="554"/>
      <c r="L197" s="554"/>
      <c r="M197" s="554"/>
      <c r="N197" s="554"/>
    </row>
    <row r="198" spans="1:14" ht="16" customHeight="1" x14ac:dyDescent="0.15">
      <c r="A198" s="554"/>
      <c r="B198" s="554"/>
      <c r="C198" s="554"/>
      <c r="D198" s="554"/>
      <c r="E198" s="554"/>
      <c r="F198" s="554"/>
      <c r="G198" s="554"/>
      <c r="H198" s="554"/>
      <c r="I198" s="554"/>
      <c r="J198" s="554"/>
      <c r="K198" s="554"/>
      <c r="L198" s="554"/>
      <c r="M198" s="554"/>
      <c r="N198" s="554"/>
    </row>
    <row r="199" spans="1:14" ht="16" customHeight="1" x14ac:dyDescent="0.15">
      <c r="A199" s="554"/>
      <c r="B199" s="554"/>
      <c r="C199" s="554"/>
      <c r="D199" s="554"/>
      <c r="E199" s="554"/>
      <c r="F199" s="554"/>
      <c r="G199" s="554"/>
      <c r="H199" s="554"/>
      <c r="I199" s="554"/>
      <c r="J199" s="554"/>
      <c r="K199" s="554"/>
      <c r="L199" s="554"/>
      <c r="M199" s="554"/>
      <c r="N199" s="554"/>
    </row>
    <row r="200" spans="1:14" ht="16" customHeight="1" x14ac:dyDescent="0.15">
      <c r="A200" s="554"/>
      <c r="B200" s="554"/>
      <c r="C200" s="554"/>
      <c r="D200" s="554"/>
      <c r="E200" s="554"/>
      <c r="F200" s="554"/>
      <c r="G200" s="554"/>
      <c r="H200" s="554"/>
      <c r="I200" s="554"/>
      <c r="J200" s="554"/>
      <c r="K200" s="554"/>
      <c r="L200" s="554"/>
      <c r="M200" s="554"/>
      <c r="N200" s="554"/>
    </row>
    <row r="201" spans="1:14" ht="16" customHeight="1" x14ac:dyDescent="0.15">
      <c r="A201" s="554"/>
      <c r="B201" s="554"/>
      <c r="C201" s="554"/>
      <c r="D201" s="554"/>
      <c r="E201" s="554"/>
      <c r="F201" s="554"/>
      <c r="G201" s="554"/>
      <c r="H201" s="554"/>
      <c r="I201" s="554"/>
      <c r="J201" s="554"/>
      <c r="K201" s="554"/>
      <c r="L201" s="554"/>
      <c r="M201" s="554"/>
      <c r="N201" s="554"/>
    </row>
    <row r="202" spans="1:14" ht="16" customHeight="1" x14ac:dyDescent="0.15">
      <c r="A202" s="554"/>
      <c r="B202" s="554"/>
      <c r="C202" s="554"/>
      <c r="D202" s="554"/>
      <c r="E202" s="554"/>
      <c r="F202" s="554"/>
      <c r="G202" s="554"/>
      <c r="H202" s="554"/>
      <c r="I202" s="554"/>
      <c r="J202" s="554"/>
      <c r="K202" s="554"/>
      <c r="L202" s="554"/>
      <c r="M202" s="554"/>
      <c r="N202" s="554"/>
    </row>
    <row r="203" spans="1:14" ht="16" customHeight="1" x14ac:dyDescent="0.15">
      <c r="A203" s="554"/>
      <c r="B203" s="554"/>
      <c r="C203" s="554"/>
      <c r="D203" s="554"/>
      <c r="E203" s="554"/>
      <c r="F203" s="554"/>
      <c r="G203" s="554"/>
      <c r="H203" s="554"/>
      <c r="I203" s="554"/>
      <c r="J203" s="554"/>
      <c r="K203" s="554"/>
      <c r="L203" s="554"/>
      <c r="M203" s="554"/>
      <c r="N203" s="554"/>
    </row>
    <row r="204" spans="1:14" ht="16" customHeight="1" x14ac:dyDescent="0.15">
      <c r="A204" s="554"/>
      <c r="B204" s="554"/>
      <c r="C204" s="554"/>
      <c r="D204" s="554"/>
      <c r="E204" s="554"/>
      <c r="F204" s="554"/>
      <c r="G204" s="554"/>
      <c r="H204" s="554"/>
      <c r="I204" s="554"/>
      <c r="J204" s="554"/>
      <c r="K204" s="554"/>
      <c r="L204" s="554"/>
      <c r="M204" s="554"/>
      <c r="N204" s="554"/>
    </row>
    <row r="205" spans="1:14" ht="16" customHeight="1" x14ac:dyDescent="0.15">
      <c r="A205" s="554"/>
      <c r="B205" s="554"/>
      <c r="C205" s="554"/>
      <c r="D205" s="554"/>
      <c r="E205" s="554"/>
      <c r="F205" s="554"/>
      <c r="G205" s="554"/>
      <c r="H205" s="554"/>
      <c r="I205" s="554"/>
      <c r="J205" s="554"/>
      <c r="K205" s="554"/>
      <c r="L205" s="554"/>
      <c r="M205" s="554"/>
      <c r="N205" s="554"/>
    </row>
    <row r="206" spans="1:14" ht="16" customHeight="1" x14ac:dyDescent="0.15">
      <c r="A206" s="554"/>
      <c r="B206" s="554"/>
      <c r="C206" s="554"/>
      <c r="D206" s="554"/>
      <c r="E206" s="554"/>
      <c r="F206" s="554"/>
      <c r="G206" s="554"/>
      <c r="H206" s="554"/>
      <c r="I206" s="554"/>
      <c r="J206" s="554"/>
      <c r="K206" s="554"/>
      <c r="L206" s="554"/>
      <c r="M206" s="554"/>
      <c r="N206" s="554"/>
    </row>
    <row r="207" spans="1:14" ht="16" customHeight="1" x14ac:dyDescent="0.15">
      <c r="A207" s="554"/>
      <c r="B207" s="554"/>
      <c r="C207" s="554"/>
      <c r="D207" s="554"/>
      <c r="E207" s="554"/>
      <c r="F207" s="554"/>
      <c r="G207" s="554"/>
      <c r="H207" s="554"/>
      <c r="I207" s="554"/>
      <c r="J207" s="554"/>
      <c r="K207" s="554"/>
      <c r="L207" s="554"/>
      <c r="M207" s="554"/>
      <c r="N207" s="554"/>
    </row>
    <row r="208" spans="1:14" ht="16" customHeight="1" x14ac:dyDescent="0.15">
      <c r="A208" s="554"/>
      <c r="B208" s="554"/>
      <c r="C208" s="554"/>
      <c r="D208" s="554"/>
      <c r="E208" s="554"/>
      <c r="F208" s="554"/>
      <c r="G208" s="554"/>
      <c r="H208" s="554"/>
      <c r="I208" s="554"/>
      <c r="J208" s="554"/>
      <c r="K208" s="554"/>
      <c r="L208" s="554"/>
      <c r="M208" s="554"/>
      <c r="N208" s="554"/>
    </row>
    <row r="209" spans="1:14" ht="16" customHeight="1" x14ac:dyDescent="0.15">
      <c r="A209" s="554"/>
      <c r="B209" s="554"/>
      <c r="C209" s="554"/>
      <c r="D209" s="554"/>
      <c r="E209" s="554"/>
      <c r="F209" s="554"/>
      <c r="G209" s="554"/>
      <c r="H209" s="554"/>
      <c r="I209" s="554"/>
      <c r="J209" s="554"/>
      <c r="K209" s="554"/>
      <c r="L209" s="554"/>
      <c r="M209" s="554"/>
      <c r="N209" s="554"/>
    </row>
    <row r="210" spans="1:14" ht="16" customHeight="1" x14ac:dyDescent="0.15">
      <c r="A210" s="554"/>
      <c r="B210" s="554"/>
      <c r="C210" s="554"/>
      <c r="D210" s="554"/>
      <c r="E210" s="554"/>
      <c r="F210" s="554"/>
      <c r="G210" s="554"/>
      <c r="H210" s="554"/>
      <c r="I210" s="554"/>
      <c r="J210" s="554"/>
      <c r="K210" s="554"/>
      <c r="L210" s="554"/>
      <c r="M210" s="554"/>
      <c r="N210" s="554"/>
    </row>
    <row r="211" spans="1:14" ht="16" customHeight="1" x14ac:dyDescent="0.15">
      <c r="A211" s="554"/>
      <c r="B211" s="554"/>
      <c r="C211" s="554"/>
      <c r="D211" s="554"/>
      <c r="E211" s="554"/>
      <c r="F211" s="554"/>
      <c r="G211" s="554"/>
      <c r="H211" s="554"/>
      <c r="I211" s="554"/>
      <c r="J211" s="554"/>
      <c r="K211" s="554"/>
      <c r="L211" s="554"/>
      <c r="M211" s="554"/>
      <c r="N211" s="554"/>
    </row>
    <row r="212" spans="1:14" ht="16" customHeight="1" x14ac:dyDescent="0.15">
      <c r="A212" s="554"/>
      <c r="B212" s="554"/>
      <c r="C212" s="554"/>
      <c r="D212" s="554"/>
      <c r="E212" s="554"/>
      <c r="F212" s="554"/>
      <c r="G212" s="554"/>
      <c r="H212" s="554"/>
      <c r="I212" s="554"/>
      <c r="J212" s="554"/>
      <c r="K212" s="554"/>
      <c r="L212" s="554"/>
      <c r="M212" s="554"/>
      <c r="N212" s="554"/>
    </row>
    <row r="213" spans="1:14" ht="16" customHeight="1" x14ac:dyDescent="0.15">
      <c r="A213" s="554"/>
      <c r="B213" s="554"/>
      <c r="C213" s="554"/>
      <c r="D213" s="554"/>
      <c r="E213" s="554"/>
      <c r="F213" s="554"/>
      <c r="G213" s="554"/>
      <c r="H213" s="554"/>
      <c r="I213" s="554"/>
      <c r="J213" s="554"/>
      <c r="K213" s="554"/>
      <c r="L213" s="554"/>
      <c r="M213" s="554"/>
      <c r="N213" s="554"/>
    </row>
    <row r="214" spans="1:14" ht="16" customHeight="1" x14ac:dyDescent="0.15">
      <c r="A214" s="554"/>
      <c r="B214" s="554"/>
      <c r="C214" s="554"/>
      <c r="D214" s="554"/>
      <c r="E214" s="554"/>
      <c r="F214" s="554"/>
      <c r="G214" s="554"/>
      <c r="H214" s="554"/>
      <c r="I214" s="554"/>
      <c r="J214" s="554"/>
      <c r="K214" s="554"/>
      <c r="L214" s="554"/>
      <c r="M214" s="554"/>
      <c r="N214" s="554"/>
    </row>
    <row r="215" spans="1:14" ht="11" customHeight="1" x14ac:dyDescent="0.15">
      <c r="A215" s="554"/>
      <c r="B215" s="554"/>
      <c r="C215" s="554"/>
      <c r="D215" s="554"/>
      <c r="E215" s="554"/>
      <c r="F215" s="554"/>
      <c r="G215" s="554"/>
      <c r="H215" s="554"/>
      <c r="I215" s="554"/>
      <c r="J215" s="554"/>
      <c r="K215" s="554"/>
      <c r="L215" s="554"/>
      <c r="M215" s="554"/>
      <c r="N215" s="554"/>
    </row>
    <row r="216" spans="1:14" ht="16" customHeight="1" x14ac:dyDescent="0.15">
      <c r="A216" s="554"/>
      <c r="B216" s="554"/>
      <c r="C216" s="554"/>
      <c r="D216" s="554"/>
      <c r="E216" s="554"/>
      <c r="F216" s="554"/>
      <c r="G216" s="554"/>
      <c r="H216" s="554"/>
      <c r="I216" s="554"/>
      <c r="J216" s="554"/>
      <c r="K216" s="554"/>
      <c r="L216" s="554"/>
      <c r="M216" s="554"/>
      <c r="N216" s="554"/>
    </row>
    <row r="217" spans="1:14" ht="16" customHeight="1" x14ac:dyDescent="0.15">
      <c r="A217" s="554"/>
      <c r="B217" s="554"/>
      <c r="C217" s="554"/>
      <c r="D217" s="554"/>
      <c r="E217" s="554"/>
      <c r="F217" s="554"/>
      <c r="G217" s="554"/>
      <c r="H217" s="554"/>
      <c r="I217" s="554"/>
      <c r="J217" s="554"/>
      <c r="K217" s="554"/>
      <c r="L217" s="554"/>
      <c r="M217" s="554"/>
      <c r="N217" s="554"/>
    </row>
    <row r="218" spans="1:14" ht="16" customHeight="1" x14ac:dyDescent="0.15">
      <c r="A218" s="554"/>
      <c r="B218" s="554"/>
      <c r="C218" s="554"/>
      <c r="D218" s="554"/>
      <c r="E218" s="554"/>
      <c r="F218" s="554"/>
      <c r="G218" s="554"/>
      <c r="H218" s="554"/>
      <c r="I218" s="554"/>
      <c r="J218" s="554"/>
      <c r="K218" s="554"/>
      <c r="L218" s="554"/>
      <c r="M218" s="554"/>
      <c r="N218" s="554"/>
    </row>
    <row r="219" spans="1:14" ht="16" customHeight="1" x14ac:dyDescent="0.15">
      <c r="A219" s="554"/>
      <c r="B219" s="554"/>
      <c r="C219" s="554"/>
      <c r="D219" s="554"/>
      <c r="E219" s="554"/>
      <c r="F219" s="554"/>
      <c r="G219" s="554"/>
      <c r="H219" s="554"/>
      <c r="I219" s="554"/>
      <c r="J219" s="554"/>
      <c r="K219" s="554"/>
      <c r="L219" s="554"/>
      <c r="M219" s="554"/>
      <c r="N219" s="554"/>
    </row>
    <row r="220" spans="1:14" ht="16" customHeight="1" x14ac:dyDescent="0.15">
      <c r="A220" s="554"/>
      <c r="B220" s="554"/>
      <c r="C220" s="554"/>
      <c r="D220" s="554"/>
      <c r="E220" s="554"/>
      <c r="F220" s="554"/>
      <c r="G220" s="554"/>
      <c r="H220" s="554"/>
      <c r="I220" s="554"/>
      <c r="J220" s="554"/>
      <c r="K220" s="554"/>
      <c r="L220" s="554"/>
      <c r="M220" s="554"/>
      <c r="N220" s="554"/>
    </row>
    <row r="221" spans="1:14" ht="16" customHeight="1" x14ac:dyDescent="0.15">
      <c r="A221" s="554"/>
      <c r="B221" s="554"/>
      <c r="C221" s="554"/>
      <c r="D221" s="554"/>
      <c r="E221" s="554"/>
      <c r="F221" s="554"/>
      <c r="G221" s="554"/>
      <c r="H221" s="554"/>
      <c r="I221" s="554"/>
      <c r="J221" s="554"/>
      <c r="K221" s="554"/>
      <c r="L221" s="554"/>
      <c r="M221" s="554"/>
      <c r="N221" s="554"/>
    </row>
    <row r="222" spans="1:14" ht="16" customHeight="1" x14ac:dyDescent="0.15">
      <c r="A222" s="554"/>
      <c r="B222" s="554"/>
      <c r="C222" s="554"/>
      <c r="D222" s="554"/>
      <c r="E222" s="554"/>
      <c r="F222" s="554"/>
      <c r="G222" s="554"/>
      <c r="H222" s="554"/>
      <c r="I222" s="554"/>
      <c r="J222" s="554"/>
      <c r="K222" s="554"/>
      <c r="L222" s="554"/>
      <c r="M222" s="554"/>
      <c r="N222" s="554"/>
    </row>
    <row r="223" spans="1:14" ht="16" customHeight="1" x14ac:dyDescent="0.15">
      <c r="A223" s="554"/>
      <c r="B223" s="554"/>
      <c r="C223" s="554"/>
      <c r="D223" s="554"/>
      <c r="E223" s="554"/>
      <c r="F223" s="554"/>
      <c r="G223" s="554"/>
      <c r="H223" s="554"/>
      <c r="I223" s="554"/>
      <c r="J223" s="554"/>
      <c r="K223" s="554"/>
      <c r="L223" s="554"/>
      <c r="M223" s="554"/>
      <c r="N223" s="554"/>
    </row>
    <row r="224" spans="1:14" ht="16" customHeight="1" x14ac:dyDescent="0.15">
      <c r="A224" s="554"/>
      <c r="B224" s="554"/>
      <c r="C224" s="554"/>
      <c r="D224" s="554"/>
      <c r="E224" s="554"/>
      <c r="F224" s="554"/>
      <c r="G224" s="554"/>
      <c r="H224" s="554"/>
      <c r="I224" s="554"/>
      <c r="J224" s="554"/>
      <c r="K224" s="554"/>
      <c r="L224" s="554"/>
      <c r="M224" s="554"/>
      <c r="N224" s="554"/>
    </row>
    <row r="225" spans="1:14" ht="16" customHeight="1" x14ac:dyDescent="0.15">
      <c r="A225" s="554"/>
      <c r="B225" s="554"/>
      <c r="C225" s="554"/>
      <c r="D225" s="554"/>
      <c r="E225" s="554"/>
      <c r="F225" s="554"/>
      <c r="G225" s="554"/>
      <c r="H225" s="554"/>
      <c r="I225" s="554"/>
      <c r="J225" s="554"/>
      <c r="K225" s="554"/>
      <c r="L225" s="554"/>
      <c r="M225" s="554"/>
      <c r="N225" s="554"/>
    </row>
    <row r="226" spans="1:14" ht="16" customHeight="1" x14ac:dyDescent="0.15">
      <c r="A226" s="554"/>
      <c r="B226" s="554"/>
      <c r="C226" s="554"/>
      <c r="D226" s="554"/>
      <c r="E226" s="554"/>
      <c r="F226" s="554"/>
      <c r="G226" s="554"/>
      <c r="H226" s="554"/>
      <c r="I226" s="554"/>
      <c r="J226" s="554"/>
      <c r="K226" s="554"/>
      <c r="L226" s="554"/>
      <c r="M226" s="554"/>
      <c r="N226" s="554"/>
    </row>
    <row r="227" spans="1:14" ht="16" customHeight="1" x14ac:dyDescent="0.15">
      <c r="A227" s="554"/>
      <c r="B227" s="554"/>
      <c r="C227" s="554"/>
      <c r="D227" s="554"/>
      <c r="E227" s="554"/>
      <c r="F227" s="554"/>
      <c r="G227" s="554"/>
      <c r="H227" s="554"/>
      <c r="I227" s="554"/>
      <c r="J227" s="554"/>
      <c r="K227" s="554"/>
      <c r="L227" s="554"/>
      <c r="M227" s="554"/>
      <c r="N227" s="554"/>
    </row>
    <row r="228" spans="1:14" ht="16" customHeight="1" x14ac:dyDescent="0.15">
      <c r="A228" s="554"/>
      <c r="B228" s="554"/>
      <c r="C228" s="554"/>
      <c r="D228" s="554"/>
      <c r="E228" s="554"/>
      <c r="F228" s="554"/>
      <c r="G228" s="554"/>
      <c r="H228" s="554"/>
      <c r="I228" s="554"/>
      <c r="J228" s="554"/>
      <c r="K228" s="554"/>
      <c r="L228" s="554"/>
      <c r="M228" s="554"/>
      <c r="N228" s="554"/>
    </row>
    <row r="229" spans="1:14" ht="16" customHeight="1" x14ac:dyDescent="0.15">
      <c r="A229" s="554"/>
      <c r="B229" s="554"/>
      <c r="C229" s="554"/>
      <c r="D229" s="554"/>
      <c r="E229" s="554"/>
      <c r="F229" s="554"/>
      <c r="G229" s="554"/>
      <c r="H229" s="554"/>
      <c r="I229" s="554"/>
      <c r="J229" s="554"/>
      <c r="K229" s="554"/>
      <c r="L229" s="554"/>
      <c r="M229" s="554"/>
      <c r="N229" s="554"/>
    </row>
    <row r="230" spans="1:14" ht="16" customHeight="1" x14ac:dyDescent="0.15">
      <c r="A230" s="554"/>
      <c r="B230" s="554"/>
      <c r="C230" s="554"/>
      <c r="D230" s="554"/>
      <c r="E230" s="554"/>
      <c r="F230" s="554"/>
      <c r="G230" s="554"/>
      <c r="H230" s="554"/>
      <c r="I230" s="554"/>
      <c r="J230" s="554"/>
      <c r="K230" s="554"/>
      <c r="L230" s="554"/>
      <c r="M230" s="554"/>
      <c r="N230" s="554"/>
    </row>
    <row r="231" spans="1:14" ht="16" customHeight="1" x14ac:dyDescent="0.15">
      <c r="A231" s="554"/>
      <c r="B231" s="554"/>
      <c r="C231" s="554"/>
      <c r="D231" s="554"/>
      <c r="E231" s="554"/>
      <c r="F231" s="554"/>
      <c r="G231" s="554"/>
      <c r="H231" s="554"/>
      <c r="I231" s="554"/>
      <c r="J231" s="554"/>
      <c r="K231" s="554"/>
      <c r="L231" s="554"/>
      <c r="M231" s="554"/>
      <c r="N231" s="554"/>
    </row>
    <row r="232" spans="1:14" ht="16" customHeight="1" x14ac:dyDescent="0.15">
      <c r="A232" s="554"/>
      <c r="B232" s="554"/>
      <c r="C232" s="554"/>
      <c r="D232" s="554"/>
      <c r="E232" s="554"/>
      <c r="F232" s="554"/>
      <c r="G232" s="554"/>
      <c r="H232" s="554"/>
      <c r="I232" s="554"/>
      <c r="J232" s="554"/>
      <c r="K232" s="554"/>
      <c r="L232" s="554"/>
      <c r="M232" s="554"/>
      <c r="N232" s="554"/>
    </row>
    <row r="233" spans="1:14" ht="16" customHeight="1" x14ac:dyDescent="0.15">
      <c r="A233" s="554"/>
      <c r="B233" s="554"/>
      <c r="C233" s="554"/>
      <c r="D233" s="554"/>
      <c r="E233" s="554"/>
      <c r="F233" s="554"/>
      <c r="G233" s="554"/>
      <c r="H233" s="554"/>
      <c r="I233" s="554"/>
      <c r="J233" s="554"/>
      <c r="K233" s="554"/>
      <c r="L233" s="554"/>
      <c r="M233" s="554"/>
      <c r="N233" s="554"/>
    </row>
    <row r="234" spans="1:14" ht="16" customHeight="1" x14ac:dyDescent="0.15">
      <c r="A234" s="554"/>
      <c r="B234" s="554"/>
      <c r="C234" s="554"/>
      <c r="D234" s="554"/>
      <c r="E234" s="554"/>
      <c r="F234" s="554"/>
      <c r="G234" s="554"/>
      <c r="H234" s="554"/>
      <c r="I234" s="554"/>
      <c r="J234" s="554"/>
      <c r="K234" s="554"/>
      <c r="L234" s="554"/>
      <c r="M234" s="554"/>
      <c r="N234" s="554"/>
    </row>
    <row r="235" spans="1:14" ht="16" customHeight="1" x14ac:dyDescent="0.15">
      <c r="A235" s="554"/>
      <c r="B235" s="554"/>
      <c r="C235" s="554"/>
      <c r="D235" s="554"/>
      <c r="E235" s="554"/>
      <c r="F235" s="554"/>
      <c r="G235" s="554"/>
      <c r="H235" s="554"/>
      <c r="I235" s="554"/>
      <c r="J235" s="554"/>
      <c r="K235" s="554"/>
      <c r="L235" s="554"/>
      <c r="M235" s="554"/>
      <c r="N235" s="554"/>
    </row>
    <row r="236" spans="1:14" ht="16" customHeight="1" x14ac:dyDescent="0.15">
      <c r="A236" s="554"/>
      <c r="B236" s="554"/>
      <c r="C236" s="554"/>
      <c r="D236" s="554"/>
      <c r="E236" s="554"/>
      <c r="F236" s="554"/>
      <c r="G236" s="554"/>
      <c r="H236" s="554"/>
      <c r="I236" s="554"/>
      <c r="J236" s="554"/>
      <c r="K236" s="554"/>
      <c r="L236" s="554"/>
      <c r="M236" s="554"/>
      <c r="N236" s="554"/>
    </row>
    <row r="237" spans="1:14" ht="16" customHeight="1" x14ac:dyDescent="0.15">
      <c r="A237" s="554"/>
      <c r="B237" s="554"/>
      <c r="C237" s="554"/>
      <c r="D237" s="554"/>
      <c r="E237" s="554"/>
      <c r="F237" s="554"/>
      <c r="G237" s="554"/>
      <c r="H237" s="554"/>
      <c r="I237" s="554"/>
      <c r="J237" s="554"/>
      <c r="K237" s="554"/>
      <c r="L237" s="554"/>
      <c r="M237" s="554"/>
      <c r="N237" s="554"/>
    </row>
    <row r="238" spans="1:14" ht="16" customHeight="1" x14ac:dyDescent="0.15">
      <c r="A238" s="554"/>
      <c r="B238" s="554"/>
      <c r="C238" s="554"/>
      <c r="D238" s="554"/>
      <c r="E238" s="554"/>
      <c r="F238" s="554"/>
      <c r="G238" s="554"/>
      <c r="H238" s="554"/>
      <c r="I238" s="554"/>
      <c r="J238" s="554"/>
      <c r="K238" s="554"/>
      <c r="L238" s="554"/>
      <c r="M238" s="554"/>
      <c r="N238" s="554"/>
    </row>
    <row r="239" spans="1:14" ht="16" customHeight="1" x14ac:dyDescent="0.15">
      <c r="A239" s="554"/>
      <c r="B239" s="554"/>
      <c r="C239" s="554"/>
      <c r="D239" s="554"/>
      <c r="E239" s="554"/>
      <c r="F239" s="554"/>
      <c r="G239" s="554"/>
      <c r="H239" s="554"/>
      <c r="I239" s="554"/>
      <c r="J239" s="554"/>
      <c r="K239" s="554"/>
      <c r="L239" s="554"/>
      <c r="M239" s="554"/>
      <c r="N239" s="554"/>
    </row>
    <row r="240" spans="1:14" ht="16" customHeight="1" x14ac:dyDescent="0.15">
      <c r="A240" s="554"/>
      <c r="B240" s="554"/>
      <c r="C240" s="554"/>
      <c r="D240" s="554"/>
      <c r="E240" s="554"/>
      <c r="F240" s="554"/>
      <c r="G240" s="554"/>
      <c r="H240" s="554"/>
      <c r="I240" s="554"/>
      <c r="J240" s="554"/>
      <c r="K240" s="554"/>
      <c r="L240" s="554"/>
      <c r="M240" s="554"/>
      <c r="N240" s="554"/>
    </row>
    <row r="241" spans="1:14" ht="16" customHeight="1" x14ac:dyDescent="0.15">
      <c r="A241" s="554"/>
      <c r="B241" s="554"/>
      <c r="C241" s="554"/>
      <c r="D241" s="554"/>
      <c r="E241" s="554"/>
      <c r="F241" s="554"/>
      <c r="G241" s="554"/>
      <c r="H241" s="554"/>
      <c r="I241" s="554"/>
      <c r="J241" s="554"/>
      <c r="K241" s="554"/>
      <c r="L241" s="554"/>
      <c r="M241" s="554"/>
      <c r="N241" s="554"/>
    </row>
    <row r="242" spans="1:14" ht="16" customHeight="1" x14ac:dyDescent="0.15">
      <c r="A242" s="554"/>
      <c r="B242" s="554"/>
      <c r="C242" s="554"/>
      <c r="D242" s="554"/>
      <c r="E242" s="554"/>
      <c r="F242" s="554"/>
      <c r="G242" s="554"/>
      <c r="H242" s="554"/>
      <c r="I242" s="554"/>
      <c r="J242" s="554"/>
      <c r="K242" s="554"/>
      <c r="L242" s="554"/>
      <c r="M242" s="554"/>
      <c r="N242" s="554"/>
    </row>
    <row r="243" spans="1:14" ht="16" customHeight="1" x14ac:dyDescent="0.15">
      <c r="A243" s="554"/>
      <c r="B243" s="554"/>
      <c r="C243" s="554"/>
      <c r="D243" s="554"/>
      <c r="E243" s="554"/>
      <c r="F243" s="554"/>
      <c r="G243" s="554"/>
      <c r="H243" s="554"/>
      <c r="I243" s="554"/>
      <c r="J243" s="554"/>
      <c r="K243" s="554"/>
      <c r="L243" s="554"/>
      <c r="M243" s="554"/>
      <c r="N243" s="554"/>
    </row>
    <row r="244" spans="1:14" ht="16" customHeight="1" x14ac:dyDescent="0.15">
      <c r="A244" s="554"/>
      <c r="B244" s="554"/>
      <c r="C244" s="554"/>
      <c r="D244" s="554"/>
      <c r="E244" s="554"/>
      <c r="F244" s="554"/>
      <c r="G244" s="554"/>
      <c r="H244" s="554"/>
      <c r="I244" s="554"/>
      <c r="J244" s="554"/>
      <c r="K244" s="554"/>
      <c r="L244" s="554"/>
      <c r="M244" s="554"/>
      <c r="N244" s="554"/>
    </row>
    <row r="245" spans="1:14" ht="16" customHeight="1" x14ac:dyDescent="0.15">
      <c r="A245" s="554"/>
      <c r="B245" s="554"/>
      <c r="C245" s="554"/>
      <c r="D245" s="554"/>
      <c r="E245" s="554"/>
      <c r="F245" s="554"/>
      <c r="G245" s="554"/>
      <c r="H245" s="554"/>
      <c r="I245" s="554"/>
      <c r="J245" s="554"/>
      <c r="K245" s="554"/>
      <c r="L245" s="554"/>
      <c r="M245" s="554"/>
      <c r="N245" s="554"/>
    </row>
    <row r="246" spans="1:14" ht="16" customHeight="1" x14ac:dyDescent="0.15">
      <c r="A246" s="554"/>
      <c r="B246" s="554"/>
      <c r="C246" s="554"/>
      <c r="D246" s="554"/>
      <c r="E246" s="554"/>
      <c r="F246" s="554"/>
      <c r="G246" s="554"/>
      <c r="H246" s="554"/>
      <c r="I246" s="554"/>
      <c r="J246" s="554"/>
      <c r="K246" s="554"/>
      <c r="L246" s="554"/>
      <c r="M246" s="554"/>
      <c r="N246" s="554"/>
    </row>
    <row r="247" spans="1:14" ht="16" customHeight="1" x14ac:dyDescent="0.15">
      <c r="A247" s="554"/>
      <c r="B247" s="554"/>
      <c r="C247" s="554"/>
      <c r="D247" s="554"/>
      <c r="E247" s="554"/>
      <c r="F247" s="554"/>
      <c r="G247" s="554"/>
      <c r="H247" s="554"/>
      <c r="I247" s="554"/>
      <c r="J247" s="554"/>
      <c r="K247" s="554"/>
      <c r="L247" s="554"/>
      <c r="M247" s="554"/>
      <c r="N247" s="554"/>
    </row>
    <row r="248" spans="1:14" ht="16" customHeight="1" x14ac:dyDescent="0.15">
      <c r="A248" s="554"/>
      <c r="B248" s="554"/>
      <c r="C248" s="554"/>
      <c r="D248" s="554"/>
      <c r="E248" s="554"/>
      <c r="F248" s="554"/>
      <c r="G248" s="554"/>
      <c r="H248" s="554"/>
      <c r="I248" s="554"/>
      <c r="J248" s="554"/>
      <c r="K248" s="554"/>
      <c r="L248" s="554"/>
      <c r="M248" s="554"/>
      <c r="N248" s="554"/>
    </row>
    <row r="249" spans="1:14" ht="16" customHeight="1" x14ac:dyDescent="0.15">
      <c r="A249" s="554"/>
      <c r="B249" s="554"/>
      <c r="C249" s="554"/>
      <c r="D249" s="554"/>
      <c r="E249" s="554"/>
      <c r="F249" s="554"/>
      <c r="G249" s="554"/>
      <c r="H249" s="554"/>
      <c r="I249" s="554"/>
      <c r="J249" s="554"/>
      <c r="K249" s="554"/>
      <c r="L249" s="554"/>
      <c r="M249" s="554"/>
      <c r="N249" s="554"/>
    </row>
    <row r="250" spans="1:14" ht="16" customHeight="1" x14ac:dyDescent="0.15">
      <c r="A250" s="554"/>
      <c r="B250" s="554"/>
      <c r="C250" s="554"/>
      <c r="D250" s="554"/>
      <c r="E250" s="554"/>
      <c r="F250" s="554"/>
      <c r="G250" s="554"/>
      <c r="H250" s="554"/>
      <c r="I250" s="554"/>
      <c r="J250" s="554"/>
      <c r="K250" s="554"/>
      <c r="L250" s="554"/>
      <c r="M250" s="554"/>
      <c r="N250" s="554"/>
    </row>
    <row r="251" spans="1:14" ht="16" customHeight="1" x14ac:dyDescent="0.15">
      <c r="A251" s="554"/>
      <c r="B251" s="554"/>
      <c r="C251" s="554"/>
      <c r="D251" s="554"/>
      <c r="E251" s="554"/>
      <c r="F251" s="554"/>
      <c r="G251" s="554"/>
      <c r="H251" s="554"/>
      <c r="I251" s="554"/>
      <c r="J251" s="554"/>
      <c r="K251" s="554"/>
      <c r="L251" s="554"/>
      <c r="M251" s="554"/>
      <c r="N251" s="554"/>
    </row>
    <row r="252" spans="1:14" ht="16" customHeight="1" x14ac:dyDescent="0.15">
      <c r="A252" s="554"/>
      <c r="B252" s="554"/>
      <c r="C252" s="554"/>
      <c r="D252" s="554"/>
      <c r="E252" s="554"/>
      <c r="F252" s="554"/>
      <c r="G252" s="554"/>
      <c r="H252" s="554"/>
      <c r="I252" s="554"/>
      <c r="J252" s="554"/>
      <c r="K252" s="554"/>
      <c r="L252" s="554"/>
      <c r="M252" s="554"/>
      <c r="N252" s="554"/>
    </row>
    <row r="253" spans="1:14" ht="16" customHeight="1" x14ac:dyDescent="0.15">
      <c r="A253" s="554"/>
      <c r="B253" s="554"/>
      <c r="C253" s="554"/>
      <c r="D253" s="554"/>
      <c r="E253" s="554"/>
      <c r="F253" s="554"/>
      <c r="G253" s="554"/>
      <c r="H253" s="554"/>
      <c r="I253" s="554"/>
      <c r="J253" s="554"/>
      <c r="K253" s="554"/>
      <c r="L253" s="554"/>
      <c r="M253" s="554"/>
      <c r="N253" s="554"/>
    </row>
    <row r="254" spans="1:14" ht="16" customHeight="1" x14ac:dyDescent="0.15">
      <c r="A254" s="554"/>
      <c r="B254" s="554"/>
      <c r="C254" s="554"/>
      <c r="D254" s="554"/>
      <c r="E254" s="554"/>
      <c r="F254" s="554"/>
      <c r="G254" s="554"/>
      <c r="H254" s="554"/>
      <c r="I254" s="554"/>
      <c r="J254" s="554"/>
      <c r="K254" s="554"/>
      <c r="L254" s="554"/>
      <c r="M254" s="554"/>
      <c r="N254" s="554"/>
    </row>
    <row r="255" spans="1:14" ht="16" customHeight="1" x14ac:dyDescent="0.15">
      <c r="A255" s="554"/>
      <c r="B255" s="554"/>
      <c r="C255" s="554"/>
      <c r="D255" s="554"/>
      <c r="E255" s="554"/>
      <c r="F255" s="554"/>
      <c r="G255" s="554"/>
      <c r="H255" s="554"/>
      <c r="I255" s="554"/>
      <c r="J255" s="554"/>
      <c r="K255" s="554"/>
      <c r="L255" s="554"/>
      <c r="M255" s="554"/>
      <c r="N255" s="554"/>
    </row>
    <row r="256" spans="1:14" ht="16" customHeight="1" x14ac:dyDescent="0.15">
      <c r="A256" s="554"/>
      <c r="B256" s="554"/>
      <c r="C256" s="554"/>
      <c r="D256" s="554"/>
      <c r="E256" s="554"/>
      <c r="F256" s="554"/>
      <c r="G256" s="554"/>
      <c r="H256" s="554"/>
      <c r="I256" s="554"/>
      <c r="J256" s="554"/>
      <c r="K256" s="554"/>
      <c r="L256" s="554"/>
      <c r="M256" s="554"/>
      <c r="N256" s="554"/>
    </row>
    <row r="257" spans="1:14" ht="16" customHeight="1" x14ac:dyDescent="0.15">
      <c r="A257" s="554"/>
      <c r="B257" s="554"/>
      <c r="C257" s="554"/>
      <c r="D257" s="554"/>
      <c r="E257" s="554"/>
      <c r="F257" s="554"/>
      <c r="G257" s="554"/>
      <c r="H257" s="554"/>
      <c r="I257" s="554"/>
      <c r="J257" s="554"/>
      <c r="K257" s="554"/>
      <c r="L257" s="554"/>
      <c r="M257" s="554"/>
      <c r="N257" s="554"/>
    </row>
    <row r="258" spans="1:14" ht="16" customHeight="1" x14ac:dyDescent="0.15">
      <c r="A258" s="554"/>
      <c r="B258" s="554"/>
      <c r="C258" s="554"/>
      <c r="D258" s="554"/>
      <c r="E258" s="554"/>
      <c r="F258" s="554"/>
      <c r="G258" s="554"/>
      <c r="H258" s="554"/>
      <c r="I258" s="554"/>
      <c r="J258" s="554"/>
      <c r="K258" s="554"/>
      <c r="L258" s="554"/>
      <c r="M258" s="554"/>
      <c r="N258" s="554"/>
    </row>
    <row r="259" spans="1:14" ht="16" customHeight="1" x14ac:dyDescent="0.15">
      <c r="A259" s="554"/>
      <c r="B259" s="554"/>
      <c r="C259" s="554"/>
      <c r="D259" s="554"/>
      <c r="E259" s="554"/>
      <c r="F259" s="554"/>
      <c r="G259" s="554"/>
      <c r="H259" s="554"/>
      <c r="I259" s="554"/>
      <c r="J259" s="554"/>
      <c r="K259" s="554"/>
      <c r="L259" s="554"/>
      <c r="M259" s="554"/>
      <c r="N259" s="554"/>
    </row>
    <row r="260" spans="1:14" ht="16" customHeight="1" x14ac:dyDescent="0.15">
      <c r="A260" s="554"/>
      <c r="B260" s="554"/>
      <c r="C260" s="554"/>
      <c r="D260" s="554"/>
      <c r="E260" s="554"/>
      <c r="F260" s="554"/>
      <c r="G260" s="554"/>
      <c r="H260" s="554"/>
      <c r="I260" s="554"/>
      <c r="J260" s="554"/>
      <c r="K260" s="554"/>
      <c r="L260" s="554"/>
      <c r="M260" s="554"/>
      <c r="N260" s="554"/>
    </row>
    <row r="261" spans="1:14" ht="16" customHeight="1" x14ac:dyDescent="0.15">
      <c r="A261" s="554"/>
      <c r="B261" s="554"/>
      <c r="C261" s="554"/>
      <c r="D261" s="554"/>
      <c r="E261" s="554"/>
      <c r="F261" s="554"/>
      <c r="G261" s="554"/>
      <c r="H261" s="554"/>
      <c r="I261" s="554"/>
      <c r="J261" s="554"/>
      <c r="K261" s="554"/>
      <c r="L261" s="554"/>
      <c r="M261" s="554"/>
      <c r="N261" s="554"/>
    </row>
    <row r="262" spans="1:14" ht="16" customHeight="1" x14ac:dyDescent="0.15">
      <c r="A262" s="554"/>
      <c r="B262" s="554"/>
      <c r="C262" s="554"/>
      <c r="D262" s="554"/>
      <c r="E262" s="554"/>
      <c r="F262" s="554"/>
      <c r="G262" s="554"/>
      <c r="H262" s="554"/>
      <c r="I262" s="554"/>
      <c r="J262" s="554"/>
      <c r="K262" s="554"/>
      <c r="L262" s="554"/>
      <c r="M262" s="554"/>
      <c r="N262" s="554"/>
    </row>
    <row r="263" spans="1:14" ht="16" customHeight="1" x14ac:dyDescent="0.15">
      <c r="A263" s="554"/>
      <c r="B263" s="554"/>
      <c r="C263" s="554"/>
      <c r="D263" s="554"/>
      <c r="E263" s="554"/>
      <c r="F263" s="554"/>
      <c r="G263" s="554"/>
      <c r="H263" s="554"/>
      <c r="I263" s="554"/>
      <c r="J263" s="554"/>
      <c r="K263" s="554"/>
      <c r="L263" s="554"/>
      <c r="M263" s="554"/>
      <c r="N263" s="554"/>
    </row>
    <row r="264" spans="1:14" x14ac:dyDescent="0.15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</row>
    <row r="265" spans="1:14" x14ac:dyDescent="0.15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</row>
    <row r="270" spans="1:14" ht="16" customHeight="1" x14ac:dyDescent="0.15">
      <c r="A270" s="42"/>
      <c r="B270" s="42"/>
    </row>
    <row r="271" spans="1:14" x14ac:dyDescent="0.15">
      <c r="A271" s="42"/>
      <c r="B271" s="42"/>
      <c r="C271" s="40"/>
      <c r="D271" s="40"/>
      <c r="E271" s="40"/>
      <c r="F271" s="40"/>
      <c r="G271" s="40"/>
      <c r="H271" s="40"/>
      <c r="I271" s="40"/>
      <c r="J271" s="40"/>
    </row>
    <row r="272" spans="1:14" x14ac:dyDescent="0.15">
      <c r="A272" s="41"/>
      <c r="C272" s="43"/>
      <c r="D272" s="43"/>
      <c r="E272" s="43"/>
      <c r="F272" s="43"/>
      <c r="G272" s="43"/>
      <c r="H272" s="43"/>
      <c r="I272" s="43"/>
      <c r="J272" s="43"/>
    </row>
    <row r="273" spans="1:11" ht="14" customHeight="1" x14ac:dyDescent="0.15">
      <c r="A273" s="44"/>
      <c r="B273" s="45"/>
      <c r="C273" s="46"/>
      <c r="D273" s="46"/>
      <c r="E273" s="46"/>
      <c r="F273" s="46"/>
      <c r="G273" s="46"/>
      <c r="H273" s="46"/>
      <c r="I273" s="46"/>
      <c r="J273" s="46"/>
      <c r="K273" s="45"/>
    </row>
    <row r="274" spans="1:11" x14ac:dyDescent="0.15">
      <c r="A274" s="47"/>
      <c r="C274" s="43"/>
      <c r="D274" s="43"/>
      <c r="E274" s="43"/>
      <c r="F274" s="43"/>
      <c r="G274" s="43"/>
      <c r="H274" s="43"/>
      <c r="I274" s="43"/>
      <c r="J274" s="43"/>
    </row>
    <row r="275" spans="1:11" x14ac:dyDescent="0.15">
      <c r="A275" s="47"/>
      <c r="C275" s="43"/>
      <c r="D275" s="43"/>
      <c r="E275" s="43"/>
      <c r="F275" s="43"/>
      <c r="G275" s="43"/>
      <c r="H275" s="43"/>
      <c r="I275" s="43"/>
      <c r="J275" s="43"/>
    </row>
    <row r="276" spans="1:11" x14ac:dyDescent="0.15">
      <c r="A276" s="47"/>
      <c r="C276" s="43"/>
      <c r="D276" s="43"/>
      <c r="E276" s="43"/>
      <c r="F276" s="43"/>
      <c r="G276" s="43"/>
      <c r="H276" s="43"/>
      <c r="I276" s="43"/>
      <c r="J276" s="43"/>
    </row>
    <row r="277" spans="1:11" x14ac:dyDescent="0.15">
      <c r="A277" s="47"/>
      <c r="C277" s="43"/>
      <c r="D277" s="43"/>
      <c r="E277" s="43"/>
      <c r="F277" s="43"/>
      <c r="G277" s="43"/>
      <c r="H277" s="43"/>
      <c r="I277" s="43"/>
      <c r="J277" s="43"/>
    </row>
    <row r="278" spans="1:11" x14ac:dyDescent="0.15">
      <c r="A278" s="47"/>
      <c r="C278" s="43"/>
      <c r="D278" s="43"/>
      <c r="E278" s="43"/>
      <c r="F278" s="43"/>
      <c r="G278" s="43"/>
      <c r="H278" s="43"/>
      <c r="I278" s="43"/>
      <c r="J278" s="43"/>
    </row>
    <row r="279" spans="1:11" x14ac:dyDescent="0.15">
      <c r="A279" s="47"/>
      <c r="C279" s="43"/>
      <c r="D279" s="43"/>
      <c r="E279" s="43"/>
      <c r="F279" s="43"/>
      <c r="G279" s="43"/>
      <c r="H279" s="43"/>
      <c r="I279" s="43"/>
      <c r="J279" s="43"/>
    </row>
    <row r="280" spans="1:11" ht="15" customHeight="1" x14ac:dyDescent="0.15">
      <c r="A280" s="47"/>
      <c r="C280" s="43"/>
      <c r="D280" s="43"/>
      <c r="E280" s="43"/>
      <c r="F280" s="43"/>
      <c r="G280" s="43"/>
      <c r="H280" s="43"/>
      <c r="I280" s="43"/>
      <c r="J280" s="43"/>
    </row>
    <row r="281" spans="1:11" x14ac:dyDescent="0.15">
      <c r="A281" s="47"/>
      <c r="C281" s="43"/>
      <c r="D281" s="43"/>
      <c r="E281" s="43"/>
      <c r="F281" s="43"/>
      <c r="G281" s="43"/>
      <c r="H281" s="43"/>
      <c r="I281" s="43"/>
      <c r="J281" s="43"/>
    </row>
    <row r="282" spans="1:11" x14ac:dyDescent="0.15">
      <c r="A282" s="47"/>
      <c r="C282" s="43"/>
      <c r="D282" s="43"/>
      <c r="E282" s="43"/>
      <c r="F282" s="43"/>
      <c r="G282" s="43"/>
      <c r="H282" s="43"/>
      <c r="I282" s="43"/>
      <c r="J282" s="43"/>
    </row>
    <row r="283" spans="1:11" x14ac:dyDescent="0.15">
      <c r="A283" s="41"/>
      <c r="C283" s="43"/>
      <c r="D283" s="43"/>
      <c r="E283" s="43"/>
      <c r="F283" s="43"/>
      <c r="G283" s="43"/>
      <c r="H283" s="43"/>
      <c r="I283" s="43"/>
      <c r="J283" s="43"/>
    </row>
    <row r="284" spans="1:11" x14ac:dyDescent="0.15">
      <c r="A284" s="41"/>
      <c r="C284" s="43"/>
      <c r="D284" s="43"/>
      <c r="E284" s="43"/>
      <c r="F284" s="43"/>
      <c r="G284" s="43"/>
      <c r="H284" s="43"/>
      <c r="I284" s="43"/>
      <c r="J284" s="43"/>
    </row>
    <row r="285" spans="1:11" x14ac:dyDescent="0.15">
      <c r="A285" s="41"/>
      <c r="C285" s="43"/>
      <c r="D285" s="43"/>
      <c r="E285" s="43"/>
      <c r="F285" s="43"/>
      <c r="G285" s="43"/>
      <c r="H285" s="43"/>
      <c r="I285" s="43"/>
      <c r="J285" s="43"/>
    </row>
    <row r="286" spans="1:11" x14ac:dyDescent="0.15">
      <c r="A286" s="41"/>
      <c r="C286" s="43"/>
      <c r="D286" s="43"/>
      <c r="E286" s="43"/>
      <c r="F286" s="43"/>
      <c r="G286" s="43"/>
      <c r="H286" s="43"/>
      <c r="I286" s="43"/>
      <c r="J286" s="43"/>
    </row>
    <row r="287" spans="1:11" x14ac:dyDescent="0.15">
      <c r="A287" s="41"/>
      <c r="C287" s="43"/>
      <c r="D287" s="43"/>
      <c r="E287" s="43"/>
      <c r="F287" s="43"/>
      <c r="G287" s="43"/>
      <c r="H287" s="43"/>
      <c r="I287" s="43"/>
      <c r="J287" s="43"/>
    </row>
    <row r="288" spans="1:11" x14ac:dyDescent="0.15">
      <c r="A288" s="41"/>
      <c r="C288" s="43"/>
      <c r="D288" s="43"/>
      <c r="E288" s="43"/>
      <c r="F288" s="43"/>
      <c r="G288" s="43"/>
      <c r="H288" s="43"/>
      <c r="I288" s="43"/>
      <c r="J288" s="43"/>
    </row>
    <row r="289" spans="1:10" x14ac:dyDescent="0.15">
      <c r="A289" s="48"/>
      <c r="C289" s="43"/>
      <c r="D289" s="43"/>
      <c r="E289" s="43"/>
      <c r="F289" s="43"/>
      <c r="G289" s="43"/>
      <c r="H289" s="43"/>
      <c r="I289" s="43"/>
      <c r="J289" s="43"/>
    </row>
    <row r="290" spans="1:10" x14ac:dyDescent="0.15">
      <c r="A290" s="41"/>
      <c r="C290" s="43"/>
      <c r="D290" s="43"/>
      <c r="E290" s="43"/>
      <c r="F290" s="43"/>
      <c r="G290" s="43"/>
      <c r="H290" s="43"/>
      <c r="I290" s="43"/>
      <c r="J290" s="43"/>
    </row>
    <row r="291" spans="1:10" x14ac:dyDescent="0.15">
      <c r="A291" s="41"/>
      <c r="C291" s="43"/>
      <c r="D291" s="43"/>
      <c r="E291" s="43"/>
      <c r="F291" s="43"/>
      <c r="G291" s="43"/>
      <c r="H291" s="43"/>
      <c r="I291" s="43"/>
      <c r="J291" s="43"/>
    </row>
  </sheetData>
  <sheetProtection algorithmName="SHA-512" hashValue="mTtDUOSpumRFXOtSWzSD0LSLmsC58IBneq3HjjJZobPdazzq6mlR069cBF55YUG1i6XWH1WMtunRv/t1uxQG1g==" saltValue="9bH2esX+HlRp/TAtITO1oA==" spinCount="100000" sheet="1" objects="1" scenarios="1"/>
  <mergeCells count="65">
    <mergeCell ref="C150:D150"/>
    <mergeCell ref="E150:F150"/>
    <mergeCell ref="G150:H150"/>
    <mergeCell ref="I150:J150"/>
    <mergeCell ref="A99:B99"/>
    <mergeCell ref="A100:B100"/>
    <mergeCell ref="A101:B101"/>
    <mergeCell ref="A102:B102"/>
    <mergeCell ref="A150:A151"/>
    <mergeCell ref="A115:A116"/>
    <mergeCell ref="C115:D115"/>
    <mergeCell ref="E115:F115"/>
    <mergeCell ref="G115:H115"/>
    <mergeCell ref="I115:J115"/>
    <mergeCell ref="A94:B94"/>
    <mergeCell ref="A95:B95"/>
    <mergeCell ref="A96:B96"/>
    <mergeCell ref="A97:B97"/>
    <mergeCell ref="A98:B98"/>
    <mergeCell ref="A89:B89"/>
    <mergeCell ref="A90:B90"/>
    <mergeCell ref="A91:B91"/>
    <mergeCell ref="A92:B92"/>
    <mergeCell ref="A93:B93"/>
    <mergeCell ref="A84:B84"/>
    <mergeCell ref="A85:B85"/>
    <mergeCell ref="A86:B86"/>
    <mergeCell ref="A87:B87"/>
    <mergeCell ref="A88:B88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A69:B69"/>
    <mergeCell ref="A70:B70"/>
    <mergeCell ref="A71:B71"/>
    <mergeCell ref="A72:B72"/>
    <mergeCell ref="A73:B73"/>
    <mergeCell ref="A18:B18"/>
    <mergeCell ref="A19:B19"/>
    <mergeCell ref="A20:B20"/>
    <mergeCell ref="A21:B21"/>
    <mergeCell ref="A22:B22"/>
    <mergeCell ref="A28:B28"/>
    <mergeCell ref="A68:B68"/>
    <mergeCell ref="J2:K2"/>
    <mergeCell ref="B1:H1"/>
    <mergeCell ref="A3:A4"/>
    <mergeCell ref="B3:B4"/>
    <mergeCell ref="C3:D3"/>
    <mergeCell ref="E3:F3"/>
    <mergeCell ref="G3:H3"/>
    <mergeCell ref="I3:J3"/>
    <mergeCell ref="C2:D2"/>
    <mergeCell ref="A23:B23"/>
    <mergeCell ref="A24:B24"/>
    <mergeCell ref="A25:B25"/>
    <mergeCell ref="A26:B26"/>
    <mergeCell ref="A27:B27"/>
  </mergeCells>
  <phoneticPr fontId="1" type="noConversion"/>
  <pageMargins left="0.7" right="0.2" top="0.75" bottom="0.75" header="0.3" footer="0.3"/>
  <pageSetup paperSize="9" fitToHeight="2" orientation="portrait" horizontalDpi="0" verticalDpi="0"/>
  <ignoredErrors>
    <ignoredError sqref="C123:J123 C132:J132 C11:J1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42A9A-80FA-474A-93BD-F5CCFF38653E}">
  <sheetPr>
    <pageSetUpPr fitToPage="1"/>
  </sheetPr>
  <dimension ref="A1:L18"/>
  <sheetViews>
    <sheetView showGridLines="0" workbookViewId="0">
      <selection activeCell="J51" sqref="J51"/>
    </sheetView>
  </sheetViews>
  <sheetFormatPr baseColWidth="10" defaultRowHeight="16" x14ac:dyDescent="0.2"/>
  <cols>
    <col min="1" max="1" width="35.6640625" bestFit="1" customWidth="1"/>
    <col min="2" max="2" width="6.5" bestFit="1" customWidth="1"/>
    <col min="3" max="3" width="4.1640625" bestFit="1" customWidth="1"/>
    <col min="4" max="4" width="10.1640625" bestFit="1" customWidth="1"/>
    <col min="5" max="5" width="4.83203125" bestFit="1" customWidth="1"/>
    <col min="6" max="6" width="7.1640625" bestFit="1" customWidth="1"/>
    <col min="7" max="8" width="4.1640625" bestFit="1" customWidth="1"/>
    <col min="9" max="9" width="9.1640625" bestFit="1" customWidth="1"/>
    <col min="10" max="10" width="10.1640625" bestFit="1" customWidth="1"/>
    <col min="11" max="11" width="9.5" bestFit="1" customWidth="1"/>
    <col min="12" max="12" width="11" customWidth="1"/>
  </cols>
  <sheetData>
    <row r="1" spans="1:12" s="36" customFormat="1" ht="13" x14ac:dyDescent="0.15">
      <c r="A1" s="135"/>
      <c r="B1" s="136"/>
      <c r="C1" s="136"/>
      <c r="D1" s="136"/>
      <c r="E1" s="136"/>
      <c r="F1" s="136"/>
      <c r="G1" s="136"/>
      <c r="H1" s="137"/>
      <c r="I1" s="137"/>
      <c r="J1" s="137"/>
      <c r="K1" s="137"/>
      <c r="L1" s="137"/>
    </row>
    <row r="2" spans="1:12" s="36" customFormat="1" x14ac:dyDescent="0.2">
      <c r="A2" s="757" t="s">
        <v>124</v>
      </c>
      <c r="B2" s="757"/>
      <c r="C2" s="757"/>
      <c r="D2" s="757"/>
      <c r="E2" s="757"/>
      <c r="F2" s="757"/>
      <c r="G2" s="757"/>
      <c r="H2" s="757"/>
      <c r="I2" s="757"/>
      <c r="J2" s="757"/>
      <c r="K2" s="64" t="s">
        <v>33</v>
      </c>
      <c r="L2" s="135" t="str">
        <f>Absoluut!K1</f>
        <v>3.1</v>
      </c>
    </row>
    <row r="3" spans="1:12" s="36" customFormat="1" ht="14" thickBot="1" x14ac:dyDescent="0.2">
      <c r="A3" s="66"/>
      <c r="B3" s="136"/>
      <c r="C3" s="136"/>
      <c r="D3" s="136"/>
      <c r="E3" s="136"/>
      <c r="F3" s="137"/>
      <c r="G3" s="137"/>
      <c r="H3" s="137"/>
      <c r="I3" s="137"/>
      <c r="J3" s="137"/>
      <c r="K3" s="64" t="s">
        <v>32</v>
      </c>
      <c r="L3" s="65">
        <f>Absoluut!K2</f>
        <v>46070</v>
      </c>
    </row>
    <row r="4" spans="1:12" s="36" customFormat="1" ht="17" thickBot="1" x14ac:dyDescent="0.25">
      <c r="A4" s="63"/>
      <c r="B4" s="507"/>
      <c r="C4" s="508"/>
      <c r="D4" s="508"/>
      <c r="E4" s="756" t="s">
        <v>206</v>
      </c>
      <c r="F4" s="756"/>
      <c r="G4" s="482"/>
      <c r="H4" s="511"/>
      <c r="I4" s="510" t="s">
        <v>207</v>
      </c>
      <c r="J4" s="509" t="s">
        <v>208</v>
      </c>
      <c r="K4" s="63"/>
      <c r="L4" s="63"/>
    </row>
    <row r="5" spans="1:12" s="54" customFormat="1" ht="34" thickBot="1" x14ac:dyDescent="0.25">
      <c r="A5" s="477" t="s">
        <v>209</v>
      </c>
      <c r="B5" s="478" t="s">
        <v>125</v>
      </c>
      <c r="C5" s="479" t="s">
        <v>127</v>
      </c>
      <c r="D5" s="479" t="s">
        <v>126</v>
      </c>
      <c r="E5" s="480" t="s">
        <v>210</v>
      </c>
      <c r="F5" s="480" t="s">
        <v>211</v>
      </c>
      <c r="G5" s="480" t="s">
        <v>212</v>
      </c>
      <c r="H5" s="480" t="s">
        <v>213</v>
      </c>
      <c r="I5" s="480" t="s">
        <v>214</v>
      </c>
      <c r="J5" s="480" t="s">
        <v>215</v>
      </c>
      <c r="K5" s="481" t="s">
        <v>216</v>
      </c>
      <c r="L5" s="481" t="s">
        <v>20</v>
      </c>
    </row>
    <row r="6" spans="1:12" s="36" customFormat="1" x14ac:dyDescent="0.2">
      <c r="A6" s="483" t="s">
        <v>195</v>
      </c>
      <c r="B6" s="484">
        <v>1000</v>
      </c>
      <c r="C6" s="485">
        <v>200</v>
      </c>
      <c r="D6" s="484">
        <f>B6*C6*100</f>
        <v>20000000</v>
      </c>
      <c r="E6" s="486">
        <v>0</v>
      </c>
      <c r="F6" s="487">
        <v>0</v>
      </c>
      <c r="G6" s="485">
        <v>8.3000000000000007</v>
      </c>
      <c r="H6" s="485">
        <v>293</v>
      </c>
      <c r="I6" s="488">
        <f>(D6*F6)/(G6*H6)</f>
        <v>0</v>
      </c>
      <c r="J6" s="485">
        <v>44.01</v>
      </c>
      <c r="K6" s="489">
        <f>I6*J6/100/1000/1000</f>
        <v>0</v>
      </c>
      <c r="L6" s="490" t="s">
        <v>223</v>
      </c>
    </row>
    <row r="7" spans="1:12" s="36" customFormat="1" x14ac:dyDescent="0.2">
      <c r="A7" s="499" t="s">
        <v>196</v>
      </c>
      <c r="B7" s="500">
        <v>1000</v>
      </c>
      <c r="C7" s="501">
        <v>200</v>
      </c>
      <c r="D7" s="500">
        <f>B7*C7*100</f>
        <v>20000000</v>
      </c>
      <c r="E7" s="502">
        <v>0.04</v>
      </c>
      <c r="F7" s="503">
        <v>0.04</v>
      </c>
      <c r="G7" s="501">
        <v>8.3000000000000007</v>
      </c>
      <c r="H7" s="501">
        <v>293</v>
      </c>
      <c r="I7" s="504">
        <f t="shared" ref="I7:I15" si="0">(D7*F7)/(G7*H7)</f>
        <v>328.96089477363375</v>
      </c>
      <c r="J7" s="501">
        <v>44.01</v>
      </c>
      <c r="K7" s="505">
        <f t="shared" ref="K7:K15" si="1">I7*J7/100/1000/1000</f>
        <v>1.4477568978987624E-4</v>
      </c>
      <c r="L7" s="506" t="s">
        <v>223</v>
      </c>
    </row>
    <row r="8" spans="1:12" s="36" customFormat="1" x14ac:dyDescent="0.2">
      <c r="A8" s="499" t="s">
        <v>197</v>
      </c>
      <c r="B8" s="500">
        <v>1000</v>
      </c>
      <c r="C8" s="501">
        <v>200</v>
      </c>
      <c r="D8" s="500">
        <f t="shared" ref="D8:D15" si="2">B8*C8*100</f>
        <v>20000000</v>
      </c>
      <c r="E8" s="502">
        <v>0.02</v>
      </c>
      <c r="F8" s="503">
        <v>0.02</v>
      </c>
      <c r="G8" s="501">
        <v>8.3000000000000007</v>
      </c>
      <c r="H8" s="501">
        <v>293</v>
      </c>
      <c r="I8" s="504">
        <f t="shared" si="0"/>
        <v>164.48044738681688</v>
      </c>
      <c r="J8" s="501">
        <v>44.01</v>
      </c>
      <c r="K8" s="505">
        <f t="shared" si="1"/>
        <v>7.2387844894938121E-5</v>
      </c>
      <c r="L8" s="506" t="s">
        <v>223</v>
      </c>
    </row>
    <row r="9" spans="1:12" s="36" customFormat="1" x14ac:dyDescent="0.2">
      <c r="A9" s="499" t="s">
        <v>198</v>
      </c>
      <c r="B9" s="500">
        <v>1000</v>
      </c>
      <c r="C9" s="501">
        <v>200</v>
      </c>
      <c r="D9" s="500">
        <f t="shared" si="2"/>
        <v>20000000</v>
      </c>
      <c r="E9" s="502">
        <v>0.02</v>
      </c>
      <c r="F9" s="503">
        <v>0.02</v>
      </c>
      <c r="G9" s="501">
        <v>8.3000000000000007</v>
      </c>
      <c r="H9" s="501">
        <v>293</v>
      </c>
      <c r="I9" s="504">
        <f t="shared" si="0"/>
        <v>164.48044738681688</v>
      </c>
      <c r="J9" s="501">
        <v>44.01</v>
      </c>
      <c r="K9" s="505">
        <f t="shared" si="1"/>
        <v>7.2387844894938121E-5</v>
      </c>
      <c r="L9" s="506" t="s">
        <v>223</v>
      </c>
    </row>
    <row r="10" spans="1:12" x14ac:dyDescent="0.2">
      <c r="A10" s="499" t="s">
        <v>199</v>
      </c>
      <c r="B10" s="500">
        <v>1000</v>
      </c>
      <c r="C10" s="501">
        <v>200</v>
      </c>
      <c r="D10" s="500">
        <f t="shared" si="2"/>
        <v>20000000</v>
      </c>
      <c r="E10" s="502">
        <v>0</v>
      </c>
      <c r="F10" s="503">
        <v>0</v>
      </c>
      <c r="G10" s="501">
        <v>8.3000000000000007</v>
      </c>
      <c r="H10" s="501">
        <v>293</v>
      </c>
      <c r="I10" s="504">
        <f t="shared" si="0"/>
        <v>0</v>
      </c>
      <c r="J10" s="501">
        <v>44.01</v>
      </c>
      <c r="K10" s="505">
        <f t="shared" si="1"/>
        <v>0</v>
      </c>
      <c r="L10" s="506" t="s">
        <v>223</v>
      </c>
    </row>
    <row r="11" spans="1:12" x14ac:dyDescent="0.2">
      <c r="A11" s="499" t="s">
        <v>200</v>
      </c>
      <c r="B11" s="500">
        <v>1000</v>
      </c>
      <c r="C11" s="501">
        <v>200</v>
      </c>
      <c r="D11" s="500">
        <f t="shared" si="2"/>
        <v>20000000</v>
      </c>
      <c r="E11" s="502">
        <v>0.15</v>
      </c>
      <c r="F11" s="503">
        <v>0.15</v>
      </c>
      <c r="G11" s="501">
        <v>8.3000000000000007</v>
      </c>
      <c r="H11" s="501">
        <v>293</v>
      </c>
      <c r="I11" s="504">
        <f t="shared" si="0"/>
        <v>1233.6033554011267</v>
      </c>
      <c r="J11" s="501">
        <v>44.01</v>
      </c>
      <c r="K11" s="505">
        <f t="shared" si="1"/>
        <v>5.4290883671203585E-4</v>
      </c>
      <c r="L11" s="506" t="s">
        <v>223</v>
      </c>
    </row>
    <row r="12" spans="1:12" x14ac:dyDescent="0.2">
      <c r="A12" s="499" t="s">
        <v>201</v>
      </c>
      <c r="B12" s="500">
        <v>1000</v>
      </c>
      <c r="C12" s="501">
        <v>200</v>
      </c>
      <c r="D12" s="500">
        <f t="shared" si="2"/>
        <v>20000000</v>
      </c>
      <c r="E12" s="502">
        <v>0.15</v>
      </c>
      <c r="F12" s="503">
        <v>0.15</v>
      </c>
      <c r="G12" s="501">
        <v>8.3000000000000007</v>
      </c>
      <c r="H12" s="501">
        <v>293</v>
      </c>
      <c r="I12" s="504">
        <f t="shared" si="0"/>
        <v>1233.6033554011267</v>
      </c>
      <c r="J12" s="501">
        <v>44.01</v>
      </c>
      <c r="K12" s="505">
        <f t="shared" si="1"/>
        <v>5.4290883671203585E-4</v>
      </c>
      <c r="L12" s="506" t="s">
        <v>223</v>
      </c>
    </row>
    <row r="13" spans="1:12" x14ac:dyDescent="0.2">
      <c r="A13" s="499" t="s">
        <v>202</v>
      </c>
      <c r="B13" s="500">
        <v>1000</v>
      </c>
      <c r="C13" s="501">
        <v>200</v>
      </c>
      <c r="D13" s="500">
        <f t="shared" si="2"/>
        <v>20000000</v>
      </c>
      <c r="E13" s="502">
        <v>0.2</v>
      </c>
      <c r="F13" s="503">
        <v>0.2</v>
      </c>
      <c r="G13" s="501">
        <v>8.3000000000000007</v>
      </c>
      <c r="H13" s="501">
        <v>293</v>
      </c>
      <c r="I13" s="504">
        <f t="shared" si="0"/>
        <v>1644.8044738681688</v>
      </c>
      <c r="J13" s="501">
        <v>44.01</v>
      </c>
      <c r="K13" s="505">
        <f t="shared" si="1"/>
        <v>7.2387844894938099E-4</v>
      </c>
      <c r="L13" s="506" t="s">
        <v>223</v>
      </c>
    </row>
    <row r="14" spans="1:12" x14ac:dyDescent="0.2">
      <c r="A14" s="499" t="s">
        <v>203</v>
      </c>
      <c r="B14" s="500">
        <v>1000</v>
      </c>
      <c r="C14" s="501">
        <v>200</v>
      </c>
      <c r="D14" s="500">
        <f t="shared" si="2"/>
        <v>20000000</v>
      </c>
      <c r="E14" s="502">
        <v>0</v>
      </c>
      <c r="F14" s="503">
        <v>0</v>
      </c>
      <c r="G14" s="501">
        <v>8.3000000000000007</v>
      </c>
      <c r="H14" s="501">
        <v>293</v>
      </c>
      <c r="I14" s="504">
        <f t="shared" si="0"/>
        <v>0</v>
      </c>
      <c r="J14" s="501">
        <v>44.01</v>
      </c>
      <c r="K14" s="505">
        <f t="shared" si="1"/>
        <v>0</v>
      </c>
      <c r="L14" s="506" t="s">
        <v>223</v>
      </c>
    </row>
    <row r="15" spans="1:12" x14ac:dyDescent="0.2">
      <c r="A15" s="499" t="s">
        <v>204</v>
      </c>
      <c r="B15" s="500">
        <v>1000</v>
      </c>
      <c r="C15" s="501">
        <v>200</v>
      </c>
      <c r="D15" s="500">
        <f t="shared" si="2"/>
        <v>20000000</v>
      </c>
      <c r="E15" s="502">
        <v>0</v>
      </c>
      <c r="F15" s="503">
        <v>0</v>
      </c>
      <c r="G15" s="501">
        <v>8.3000000000000007</v>
      </c>
      <c r="H15" s="501">
        <v>293</v>
      </c>
      <c r="I15" s="504">
        <f t="shared" si="0"/>
        <v>0</v>
      </c>
      <c r="J15" s="501">
        <v>44.01</v>
      </c>
      <c r="K15" s="505">
        <f t="shared" si="1"/>
        <v>0</v>
      </c>
      <c r="L15" s="506" t="s">
        <v>223</v>
      </c>
    </row>
    <row r="16" spans="1:12" ht="17" thickBot="1" x14ac:dyDescent="0.25">
      <c r="A16" s="491" t="s">
        <v>205</v>
      </c>
      <c r="B16" s="492">
        <v>1000</v>
      </c>
      <c r="C16" s="493">
        <v>200</v>
      </c>
      <c r="D16" s="492">
        <f t="shared" ref="D16" si="3">B16*C16*100</f>
        <v>20000000</v>
      </c>
      <c r="E16" s="494">
        <v>0</v>
      </c>
      <c r="F16" s="495">
        <v>0</v>
      </c>
      <c r="G16" s="493">
        <v>8.3000000000000007</v>
      </c>
      <c r="H16" s="493">
        <v>293</v>
      </c>
      <c r="I16" s="496">
        <f t="shared" ref="I16" si="4">(D16*F16)/(G16*H16)</f>
        <v>0</v>
      </c>
      <c r="J16" s="493">
        <v>44.01</v>
      </c>
      <c r="K16" s="497">
        <f t="shared" ref="K16" si="5">I16*J16/100/1000/1000</f>
        <v>0</v>
      </c>
      <c r="L16" s="498" t="s">
        <v>223</v>
      </c>
    </row>
    <row r="17" spans="1:12" x14ac:dyDescent="0.2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</row>
    <row r="18" spans="1:12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</row>
  </sheetData>
  <sheetProtection algorithmName="SHA-512" hashValue="NcIy15cI7Pr2rmIumva+8777tg5+Rk3z5Vew/XAGCozINNUhnzl/wWru097ApAAnkaI6gvqRg8ADe3RnyQsoPQ==" saltValue="D1WJqzVkP8dQI5TOoFvydQ==" spinCount="100000" sheet="1" objects="1" scenarios="1"/>
  <mergeCells count="2">
    <mergeCell ref="E4:F4"/>
    <mergeCell ref="A2:J2"/>
  </mergeCells>
  <pageMargins left="0.7" right="0.7" top="0.75" bottom="0.75" header="0.3" footer="0.3"/>
  <pageSetup paperSize="9" scale="70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0912A-938A-4B48-A191-6A42DE33BB76}">
  <sheetPr>
    <pageSetUpPr fitToPage="1"/>
  </sheetPr>
  <dimension ref="A1:W155"/>
  <sheetViews>
    <sheetView showGridLines="0" zoomScale="130" zoomScaleNormal="130" workbookViewId="0">
      <pane ySplit="4" topLeftCell="A5" activePane="bottomLeft" state="frozen"/>
      <selection pane="bottomLeft" activeCell="C1" sqref="C1:C1048576"/>
    </sheetView>
  </sheetViews>
  <sheetFormatPr baseColWidth="10" defaultRowHeight="13" x14ac:dyDescent="0.15"/>
  <cols>
    <col min="1" max="1" width="18.33203125" style="20" bestFit="1" customWidth="1"/>
    <col min="2" max="2" width="17.5" style="20" customWidth="1"/>
    <col min="3" max="3" width="10.83203125" style="20" hidden="1" customWidth="1"/>
    <col min="4" max="11" width="8.5" style="20" hidden="1" customWidth="1"/>
    <col min="12" max="16" width="8.5" style="625" customWidth="1"/>
    <col min="17" max="17" width="10.1640625" style="20" customWidth="1"/>
    <col min="18" max="18" width="20.1640625" style="20" customWidth="1"/>
    <col min="19" max="19" width="23.1640625" style="20" customWidth="1"/>
    <col min="20" max="20" width="10.83203125" style="20"/>
    <col min="21" max="21" width="10.83203125" style="20" customWidth="1"/>
    <col min="22" max="16384" width="10.83203125" style="20"/>
  </cols>
  <sheetData>
    <row r="1" spans="1:23" x14ac:dyDescent="0.15">
      <c r="A1" s="138"/>
      <c r="B1" s="138"/>
      <c r="C1" s="135"/>
      <c r="D1" s="138"/>
      <c r="E1" s="138"/>
      <c r="F1" s="138"/>
      <c r="G1" s="138"/>
      <c r="H1" s="138"/>
      <c r="I1" s="138"/>
      <c r="J1" s="138"/>
      <c r="K1" s="138"/>
      <c r="L1" s="67"/>
      <c r="M1" s="67"/>
      <c r="N1" s="67"/>
      <c r="O1" s="67"/>
      <c r="P1" s="67"/>
      <c r="Q1" s="138"/>
      <c r="R1" s="139" t="s">
        <v>33</v>
      </c>
      <c r="S1" s="140" t="str">
        <f>Absoluut!K1</f>
        <v>3.1</v>
      </c>
      <c r="T1" s="135"/>
      <c r="U1" s="135"/>
      <c r="V1" s="135"/>
      <c r="W1" s="135"/>
    </row>
    <row r="2" spans="1:23" ht="14" thickBot="1" x14ac:dyDescent="0.2">
      <c r="A2" s="138"/>
      <c r="B2" s="138"/>
      <c r="C2" s="135"/>
      <c r="D2" s="138"/>
      <c r="E2" s="138"/>
      <c r="F2" s="138"/>
      <c r="G2" s="138"/>
      <c r="H2" s="138"/>
      <c r="I2" s="138"/>
      <c r="J2" s="138"/>
      <c r="K2" s="138"/>
      <c r="L2" s="67"/>
      <c r="M2" s="67"/>
      <c r="N2" s="67"/>
      <c r="O2" s="67"/>
      <c r="P2" s="67"/>
      <c r="Q2" s="138"/>
      <c r="R2" s="139" t="s">
        <v>32</v>
      </c>
      <c r="S2" s="141">
        <f>Absoluut!K2</f>
        <v>46070</v>
      </c>
      <c r="T2" s="135"/>
      <c r="U2" s="135"/>
      <c r="V2" s="135"/>
      <c r="W2" s="135"/>
    </row>
    <row r="3" spans="1:23" ht="14" thickBot="1" x14ac:dyDescent="0.2">
      <c r="A3" s="343" t="s">
        <v>63</v>
      </c>
      <c r="B3" s="162" t="s">
        <v>114</v>
      </c>
      <c r="C3" s="607"/>
      <c r="D3" s="160" t="s">
        <v>217</v>
      </c>
      <c r="E3" s="160" t="s">
        <v>217</v>
      </c>
      <c r="F3" s="160" t="s">
        <v>217</v>
      </c>
      <c r="G3" s="58" t="s">
        <v>217</v>
      </c>
      <c r="H3" s="58" t="s">
        <v>217</v>
      </c>
      <c r="I3" s="58" t="s">
        <v>217</v>
      </c>
      <c r="J3" s="58" t="s">
        <v>217</v>
      </c>
      <c r="K3" s="58" t="s">
        <v>217</v>
      </c>
      <c r="L3" s="58" t="s">
        <v>217</v>
      </c>
      <c r="M3" s="58" t="s">
        <v>217</v>
      </c>
      <c r="N3" s="58" t="s">
        <v>217</v>
      </c>
      <c r="O3" s="58" t="s">
        <v>217</v>
      </c>
      <c r="P3" s="58" t="s">
        <v>217</v>
      </c>
      <c r="Q3" s="57" t="s">
        <v>20</v>
      </c>
      <c r="R3" s="59" t="s">
        <v>64</v>
      </c>
      <c r="S3" s="60" t="s">
        <v>60</v>
      </c>
      <c r="T3" s="135"/>
      <c r="U3" s="135"/>
      <c r="V3" s="135"/>
      <c r="W3" s="135"/>
    </row>
    <row r="4" spans="1:23" ht="14" thickBot="1" x14ac:dyDescent="0.2">
      <c r="A4" s="142" t="s">
        <v>13</v>
      </c>
      <c r="B4" s="143"/>
      <c r="C4" s="344" t="s">
        <v>381</v>
      </c>
      <c r="D4" s="144">
        <v>2013</v>
      </c>
      <c r="E4" s="144">
        <v>2014</v>
      </c>
      <c r="F4" s="144">
        <v>2015</v>
      </c>
      <c r="G4" s="144">
        <v>2016</v>
      </c>
      <c r="H4" s="144">
        <v>2017</v>
      </c>
      <c r="I4" s="144">
        <v>2018</v>
      </c>
      <c r="J4" s="144">
        <v>2019</v>
      </c>
      <c r="K4" s="144">
        <v>2020</v>
      </c>
      <c r="L4" s="145">
        <v>2021</v>
      </c>
      <c r="M4" s="145">
        <v>2022</v>
      </c>
      <c r="N4" s="145">
        <v>2023</v>
      </c>
      <c r="O4" s="145">
        <v>2024</v>
      </c>
      <c r="P4" s="145">
        <v>2025</v>
      </c>
      <c r="Q4" s="57"/>
      <c r="R4" s="146"/>
      <c r="S4" s="147"/>
      <c r="T4" s="135"/>
      <c r="U4" s="135"/>
      <c r="V4" s="135"/>
      <c r="W4" s="135"/>
    </row>
    <row r="5" spans="1:23" x14ac:dyDescent="0.15">
      <c r="A5" s="148" t="s">
        <v>35</v>
      </c>
      <c r="B5" s="138"/>
      <c r="C5" s="135" t="s">
        <v>305</v>
      </c>
      <c r="D5" s="149">
        <v>1.884E-3</v>
      </c>
      <c r="E5" s="149">
        <v>1.884E-3</v>
      </c>
      <c r="F5" s="149">
        <v>1.884E-3</v>
      </c>
      <c r="G5" s="149">
        <v>1.884E-3</v>
      </c>
      <c r="H5" s="150">
        <v>1.89E-3</v>
      </c>
      <c r="I5" s="150">
        <v>1.89E-3</v>
      </c>
      <c r="J5" s="149">
        <v>1.887E-3</v>
      </c>
      <c r="K5" s="149">
        <v>1.884E-3</v>
      </c>
      <c r="L5" s="150">
        <v>1.884E-3</v>
      </c>
      <c r="M5" s="150">
        <v>2.085E-3</v>
      </c>
      <c r="N5" s="150">
        <v>2.0790000000000001E-3</v>
      </c>
      <c r="O5" s="150">
        <v>2.134E-3</v>
      </c>
      <c r="P5" s="150">
        <v>2.134E-3</v>
      </c>
      <c r="Q5" s="151" t="s">
        <v>180</v>
      </c>
      <c r="R5" s="140" t="s">
        <v>36</v>
      </c>
      <c r="S5" s="152"/>
      <c r="T5" s="135"/>
      <c r="U5" s="135"/>
      <c r="V5" s="135"/>
      <c r="W5" s="135"/>
    </row>
    <row r="6" spans="1:23" x14ac:dyDescent="0.15">
      <c r="A6" s="148" t="s">
        <v>14</v>
      </c>
      <c r="B6" s="138"/>
      <c r="C6" s="135" t="s">
        <v>306</v>
      </c>
      <c r="D6" s="150">
        <v>3.2320000000000001E-3</v>
      </c>
      <c r="E6" s="150">
        <v>3.2320000000000001E-3</v>
      </c>
      <c r="F6" s="150">
        <v>3.2320000000000001E-3</v>
      </c>
      <c r="G6" s="150">
        <v>3.2320000000000001E-3</v>
      </c>
      <c r="H6" s="150">
        <v>3.2299999999999998E-3</v>
      </c>
      <c r="I6" s="150">
        <v>3.3089999999999999E-3</v>
      </c>
      <c r="J6" s="150">
        <v>3.3089999999999999E-3</v>
      </c>
      <c r="K6" s="150">
        <v>3.3089999999999999E-3</v>
      </c>
      <c r="L6" s="150">
        <f>3.262/1000</f>
        <v>3.2620000000000001E-3</v>
      </c>
      <c r="M6" s="150">
        <f>3.262/1000</f>
        <v>3.2620000000000001E-3</v>
      </c>
      <c r="N6" s="150">
        <f>3.256/1000</f>
        <v>3.2559999999999998E-3</v>
      </c>
      <c r="O6" s="150">
        <f>3.256/1000</f>
        <v>3.2559999999999998E-3</v>
      </c>
      <c r="P6" s="150">
        <f>3.251/1000</f>
        <v>3.251E-3</v>
      </c>
      <c r="Q6" s="151" t="s">
        <v>181</v>
      </c>
      <c r="R6" s="140" t="s">
        <v>36</v>
      </c>
      <c r="S6" s="152" t="s">
        <v>246</v>
      </c>
      <c r="T6" s="135"/>
      <c r="U6" s="135"/>
      <c r="V6" s="135"/>
      <c r="W6" s="135"/>
    </row>
    <row r="7" spans="1:23" x14ac:dyDescent="0.15">
      <c r="A7" s="148" t="s">
        <v>15</v>
      </c>
      <c r="B7" s="138"/>
      <c r="C7" s="135" t="s">
        <v>308</v>
      </c>
      <c r="D7" s="150">
        <v>2.7409999999999999E-3</v>
      </c>
      <c r="E7" s="150">
        <v>2.7399999999999998E-3</v>
      </c>
      <c r="F7" s="150">
        <v>2.7399999999999998E-3</v>
      </c>
      <c r="G7" s="150">
        <v>2.7409999999999999E-3</v>
      </c>
      <c r="H7" s="150">
        <v>2.7399999999999998E-3</v>
      </c>
      <c r="I7" s="150">
        <v>2.7399999999999998E-3</v>
      </c>
      <c r="J7" s="150">
        <v>2.7399999999999998E-3</v>
      </c>
      <c r="K7" s="150">
        <v>2.7399999999999998E-3</v>
      </c>
      <c r="L7" s="150">
        <f>2.784/1000</f>
        <v>2.784E-3</v>
      </c>
      <c r="M7" s="150">
        <f t="shared" ref="M7" si="0">2.784/1000</f>
        <v>2.784E-3</v>
      </c>
      <c r="N7" s="150">
        <f>2.821/1000</f>
        <v>2.8210000000000002E-3</v>
      </c>
      <c r="O7" s="150">
        <f>2.821/1000</f>
        <v>2.8210000000000002E-3</v>
      </c>
      <c r="P7" s="150">
        <f>2.797/1000</f>
        <v>2.797E-3</v>
      </c>
      <c r="Q7" s="151" t="s">
        <v>181</v>
      </c>
      <c r="R7" s="140" t="s">
        <v>36</v>
      </c>
      <c r="S7" s="152" t="s">
        <v>247</v>
      </c>
      <c r="T7" s="135"/>
      <c r="U7" s="135"/>
      <c r="V7" s="135"/>
      <c r="W7" s="135"/>
    </row>
    <row r="8" spans="1:23" x14ac:dyDescent="0.15">
      <c r="A8" s="148" t="s">
        <v>403</v>
      </c>
      <c r="B8" s="633">
        <v>1</v>
      </c>
      <c r="C8" s="135" t="s">
        <v>403</v>
      </c>
      <c r="D8" s="150">
        <f t="shared" ref="D8:K8" si="1">0.314/1000</f>
        <v>3.1399999999999999E-4</v>
      </c>
      <c r="E8" s="150">
        <f t="shared" si="1"/>
        <v>3.1399999999999999E-4</v>
      </c>
      <c r="F8" s="150">
        <f t="shared" si="1"/>
        <v>3.1399999999999999E-4</v>
      </c>
      <c r="G8" s="150">
        <f t="shared" si="1"/>
        <v>3.1399999999999999E-4</v>
      </c>
      <c r="H8" s="150">
        <f t="shared" si="1"/>
        <v>3.1399999999999999E-4</v>
      </c>
      <c r="I8" s="150">
        <f t="shared" si="1"/>
        <v>3.1399999999999999E-4</v>
      </c>
      <c r="J8" s="150">
        <f t="shared" si="1"/>
        <v>3.1399999999999999E-4</v>
      </c>
      <c r="K8" s="150">
        <f t="shared" si="1"/>
        <v>3.1399999999999999E-4</v>
      </c>
      <c r="L8" s="150">
        <f>0.314/1000</f>
        <v>3.1399999999999999E-4</v>
      </c>
      <c r="M8" s="150">
        <f>0.314/1000</f>
        <v>3.1399999999999999E-4</v>
      </c>
      <c r="N8" s="150">
        <f>0.347/1000</f>
        <v>3.4699999999999998E-4</v>
      </c>
      <c r="O8" s="150">
        <f>0.347/1000</f>
        <v>3.4699999999999998E-4</v>
      </c>
      <c r="P8" s="150">
        <f>0.441/1000</f>
        <v>4.4099999999999999E-4</v>
      </c>
      <c r="Q8" s="151" t="s">
        <v>181</v>
      </c>
      <c r="R8" s="140" t="s">
        <v>36</v>
      </c>
      <c r="S8" s="152"/>
      <c r="T8" s="135"/>
      <c r="U8" s="135"/>
      <c r="V8" s="135"/>
      <c r="W8" s="135"/>
    </row>
    <row r="9" spans="1:23" x14ac:dyDescent="0.15">
      <c r="A9" s="148" t="s">
        <v>16</v>
      </c>
      <c r="B9" s="138"/>
      <c r="C9" s="135" t="s">
        <v>16</v>
      </c>
      <c r="D9" s="149">
        <v>1.805E-3</v>
      </c>
      <c r="E9" s="149">
        <v>1.805E-3</v>
      </c>
      <c r="F9" s="149">
        <v>1.805E-3</v>
      </c>
      <c r="G9" s="149">
        <v>1.805E-3</v>
      </c>
      <c r="H9" s="149">
        <v>1.8060000000000001E-3</v>
      </c>
      <c r="I9" s="149">
        <v>1.8060000000000001E-3</v>
      </c>
      <c r="J9" s="149">
        <v>1.8060000000000001E-3</v>
      </c>
      <c r="K9" s="149">
        <v>1.8060000000000001E-3</v>
      </c>
      <c r="L9" s="150">
        <f>1.798/1000</f>
        <v>1.7980000000000001E-3</v>
      </c>
      <c r="M9" s="150">
        <f t="shared" ref="M9" si="2">1.798/1000</f>
        <v>1.7980000000000001E-3</v>
      </c>
      <c r="N9" s="150">
        <f>1.802/1000</f>
        <v>1.802E-3</v>
      </c>
      <c r="O9" s="150">
        <f>1.802/1000</f>
        <v>1.802E-3</v>
      </c>
      <c r="P9" s="150">
        <f>1.792/1000</f>
        <v>1.792E-3</v>
      </c>
      <c r="Q9" s="151" t="s">
        <v>181</v>
      </c>
      <c r="R9" s="140" t="s">
        <v>36</v>
      </c>
      <c r="S9" s="152"/>
      <c r="T9" s="135"/>
      <c r="U9" s="135"/>
      <c r="V9" s="135"/>
      <c r="W9" s="135"/>
    </row>
    <row r="10" spans="1:23" x14ac:dyDescent="0.15">
      <c r="A10" s="148" t="s">
        <v>53</v>
      </c>
      <c r="B10" s="138"/>
      <c r="C10" s="135" t="s">
        <v>419</v>
      </c>
      <c r="D10" s="149">
        <v>5.2599999999999999E-4</v>
      </c>
      <c r="E10" s="149">
        <v>5.2599999999999999E-4</v>
      </c>
      <c r="F10" s="149">
        <v>5.2599999999999999E-4</v>
      </c>
      <c r="G10" s="149">
        <v>5.2599999999999999E-4</v>
      </c>
      <c r="H10" s="149">
        <v>5.2599999999999999E-4</v>
      </c>
      <c r="I10" s="149">
        <v>6.4899999999999995E-4</v>
      </c>
      <c r="J10" s="149">
        <v>5.2599999999999999E-4</v>
      </c>
      <c r="K10" s="149">
        <v>5.5599999999999996E-4</v>
      </c>
      <c r="L10" s="150">
        <f>0.556/1000</f>
        <v>5.5600000000000007E-4</v>
      </c>
      <c r="M10" s="150">
        <f>0.523/1000</f>
        <v>5.2300000000000003E-4</v>
      </c>
      <c r="N10" s="150">
        <f>0.456/1000</f>
        <v>4.5600000000000003E-4</v>
      </c>
      <c r="O10" s="150">
        <f>0.536/1000</f>
        <v>5.3600000000000002E-4</v>
      </c>
      <c r="P10" s="150">
        <f>P26</f>
        <v>4.9700000000000005E-4</v>
      </c>
      <c r="Q10" s="151" t="s">
        <v>182</v>
      </c>
      <c r="R10" s="140" t="s">
        <v>36</v>
      </c>
      <c r="S10" s="152"/>
      <c r="T10" s="135"/>
      <c r="U10" s="135"/>
      <c r="V10" s="135"/>
      <c r="W10" s="135"/>
    </row>
    <row r="11" spans="1:23" x14ac:dyDescent="0.15">
      <c r="A11" s="148" t="s">
        <v>120</v>
      </c>
      <c r="B11" s="138"/>
      <c r="C11" s="135" t="s">
        <v>269</v>
      </c>
      <c r="D11" s="150">
        <v>2.5999999999999998E-4</v>
      </c>
      <c r="E11" s="150">
        <v>2.5999999999999998E-4</v>
      </c>
      <c r="F11" s="150">
        <v>2.5999999999999998E-4</v>
      </c>
      <c r="G11" s="150">
        <v>2.5999999999999998E-4</v>
      </c>
      <c r="H11" s="150">
        <v>2.5999999999999998E-4</v>
      </c>
      <c r="I11" s="150">
        <v>2.5999999999999998E-4</v>
      </c>
      <c r="J11" s="150">
        <v>2.5999999999999998E-4</v>
      </c>
      <c r="K11" s="150">
        <v>2.5999999999999998E-4</v>
      </c>
      <c r="L11" s="150">
        <v>2.5999999999999998E-4</v>
      </c>
      <c r="M11" s="150">
        <v>2.5999999999999998E-4</v>
      </c>
      <c r="N11" s="150">
        <v>2.5999999999999998E-4</v>
      </c>
      <c r="O11" s="150">
        <v>2.5999999999999998E-4</v>
      </c>
      <c r="P11" s="150">
        <v>2.5999999999999998E-4</v>
      </c>
      <c r="Q11" s="151" t="s">
        <v>181</v>
      </c>
      <c r="R11" s="140" t="s">
        <v>39</v>
      </c>
      <c r="S11" s="152"/>
      <c r="T11" s="135"/>
      <c r="U11" s="135"/>
      <c r="V11" s="135"/>
      <c r="W11" s="135"/>
    </row>
    <row r="12" spans="1:23" x14ac:dyDescent="0.15">
      <c r="A12" s="148" t="s">
        <v>38</v>
      </c>
      <c r="B12" s="138"/>
      <c r="C12" s="135" t="s">
        <v>270</v>
      </c>
      <c r="D12" s="150">
        <v>2.15E-3</v>
      </c>
      <c r="E12" s="150">
        <v>2.15E-3</v>
      </c>
      <c r="F12" s="150">
        <v>2.15E-3</v>
      </c>
      <c r="G12" s="150">
        <v>2.15E-3</v>
      </c>
      <c r="H12" s="150">
        <v>2.15E-3</v>
      </c>
      <c r="I12" s="150">
        <v>2.15E-3</v>
      </c>
      <c r="J12" s="150">
        <v>2.15E-3</v>
      </c>
      <c r="K12" s="150">
        <v>2.15E-3</v>
      </c>
      <c r="L12" s="150">
        <v>2.15E-3</v>
      </c>
      <c r="M12" s="150">
        <v>2.15E-3</v>
      </c>
      <c r="N12" s="150">
        <v>2.15E-3</v>
      </c>
      <c r="O12" s="150">
        <v>2.15E-3</v>
      </c>
      <c r="P12" s="150">
        <v>2.15E-3</v>
      </c>
      <c r="Q12" s="151" t="s">
        <v>181</v>
      </c>
      <c r="R12" s="140" t="s">
        <v>37</v>
      </c>
      <c r="S12" s="152"/>
      <c r="T12" s="135"/>
      <c r="U12" s="135"/>
      <c r="V12" s="135"/>
      <c r="W12" s="135"/>
    </row>
    <row r="13" spans="1:23" x14ac:dyDescent="0.15">
      <c r="A13" s="153" t="s">
        <v>195</v>
      </c>
      <c r="B13" s="138"/>
      <c r="C13" s="135" t="s">
        <v>311</v>
      </c>
      <c r="D13" s="150">
        <f>'Lasgas bepaling'!$K$6</f>
        <v>0</v>
      </c>
      <c r="E13" s="150">
        <f>'Lasgas bepaling'!$K$6</f>
        <v>0</v>
      </c>
      <c r="F13" s="150">
        <f>'Lasgas bepaling'!$K$6</f>
        <v>0</v>
      </c>
      <c r="G13" s="150">
        <f>'Lasgas bepaling'!$K$6</f>
        <v>0</v>
      </c>
      <c r="H13" s="150">
        <f>'Lasgas bepaling'!$K$6</f>
        <v>0</v>
      </c>
      <c r="I13" s="150">
        <f>'Lasgas bepaling'!$K$6</f>
        <v>0</v>
      </c>
      <c r="J13" s="150">
        <f>'Lasgas bepaling'!$K$6</f>
        <v>0</v>
      </c>
      <c r="K13" s="150">
        <f>'Lasgas bepaling'!$K$6</f>
        <v>0</v>
      </c>
      <c r="L13" s="150">
        <f>'Lasgas bepaling'!$K$6</f>
        <v>0</v>
      </c>
      <c r="M13" s="150">
        <f>'Lasgas bepaling'!$K$6</f>
        <v>0</v>
      </c>
      <c r="N13" s="150">
        <f>'Lasgas bepaling'!$K$6</f>
        <v>0</v>
      </c>
      <c r="O13" s="150">
        <f>'Lasgas bepaling'!$K$6</f>
        <v>0</v>
      </c>
      <c r="P13" s="150">
        <f>'Lasgas bepaling'!$K$6</f>
        <v>0</v>
      </c>
      <c r="Q13" s="151" t="s">
        <v>181</v>
      </c>
      <c r="R13" s="140" t="s">
        <v>40</v>
      </c>
      <c r="S13" s="152"/>
      <c r="T13" s="135"/>
      <c r="U13" s="135"/>
      <c r="V13" s="135"/>
      <c r="W13" s="135"/>
    </row>
    <row r="14" spans="1:23" x14ac:dyDescent="0.15">
      <c r="A14" s="153" t="s">
        <v>196</v>
      </c>
      <c r="B14" s="138"/>
      <c r="C14" s="135" t="s">
        <v>312</v>
      </c>
      <c r="D14" s="150">
        <f>'Lasgas bepaling'!$K$7</f>
        <v>1.4477568978987624E-4</v>
      </c>
      <c r="E14" s="150">
        <f>'Lasgas bepaling'!$K$7</f>
        <v>1.4477568978987624E-4</v>
      </c>
      <c r="F14" s="150">
        <f>'Lasgas bepaling'!$K$7</f>
        <v>1.4477568978987624E-4</v>
      </c>
      <c r="G14" s="150">
        <f>'Lasgas bepaling'!$K$7</f>
        <v>1.4477568978987624E-4</v>
      </c>
      <c r="H14" s="150">
        <f>'Lasgas bepaling'!$K$7</f>
        <v>1.4477568978987624E-4</v>
      </c>
      <c r="I14" s="150">
        <f>'Lasgas bepaling'!$K$7</f>
        <v>1.4477568978987624E-4</v>
      </c>
      <c r="J14" s="150">
        <f>'Lasgas bepaling'!$K$7</f>
        <v>1.4477568978987624E-4</v>
      </c>
      <c r="K14" s="150">
        <f>'Lasgas bepaling'!$K$7</f>
        <v>1.4477568978987624E-4</v>
      </c>
      <c r="L14" s="150">
        <f>'Lasgas bepaling'!$K$7</f>
        <v>1.4477568978987624E-4</v>
      </c>
      <c r="M14" s="150">
        <f>'Lasgas bepaling'!$K$7</f>
        <v>1.4477568978987624E-4</v>
      </c>
      <c r="N14" s="150">
        <f>'Lasgas bepaling'!$K$7</f>
        <v>1.4477568978987624E-4</v>
      </c>
      <c r="O14" s="150">
        <f>'Lasgas bepaling'!$K$7</f>
        <v>1.4477568978987624E-4</v>
      </c>
      <c r="P14" s="150">
        <f>'Lasgas bepaling'!$K$7</f>
        <v>1.4477568978987624E-4</v>
      </c>
      <c r="Q14" s="151" t="s">
        <v>181</v>
      </c>
      <c r="R14" s="140" t="s">
        <v>40</v>
      </c>
      <c r="S14" s="152"/>
      <c r="T14" s="135"/>
      <c r="U14" s="135"/>
      <c r="V14" s="135"/>
      <c r="W14" s="135"/>
    </row>
    <row r="15" spans="1:23" x14ac:dyDescent="0.15">
      <c r="A15" s="153" t="s">
        <v>197</v>
      </c>
      <c r="B15" s="138"/>
      <c r="C15" s="135" t="s">
        <v>313</v>
      </c>
      <c r="D15" s="150">
        <f>'Lasgas bepaling'!$K$8</f>
        <v>7.2387844894938121E-5</v>
      </c>
      <c r="E15" s="150">
        <f>'Lasgas bepaling'!$K$8</f>
        <v>7.2387844894938121E-5</v>
      </c>
      <c r="F15" s="150">
        <f>'Lasgas bepaling'!$K$8</f>
        <v>7.2387844894938121E-5</v>
      </c>
      <c r="G15" s="150">
        <f>'Lasgas bepaling'!$K$8</f>
        <v>7.2387844894938121E-5</v>
      </c>
      <c r="H15" s="150">
        <f>'Lasgas bepaling'!$K$8</f>
        <v>7.2387844894938121E-5</v>
      </c>
      <c r="I15" s="150">
        <f>'Lasgas bepaling'!$K$8</f>
        <v>7.2387844894938121E-5</v>
      </c>
      <c r="J15" s="150">
        <f>'Lasgas bepaling'!$K$8</f>
        <v>7.2387844894938121E-5</v>
      </c>
      <c r="K15" s="150">
        <f>'Lasgas bepaling'!$K$8</f>
        <v>7.2387844894938121E-5</v>
      </c>
      <c r="L15" s="150">
        <f>'Lasgas bepaling'!$K$8</f>
        <v>7.2387844894938121E-5</v>
      </c>
      <c r="M15" s="150">
        <f>'Lasgas bepaling'!$K$8</f>
        <v>7.2387844894938121E-5</v>
      </c>
      <c r="N15" s="150">
        <f>'Lasgas bepaling'!$K$8</f>
        <v>7.2387844894938121E-5</v>
      </c>
      <c r="O15" s="150">
        <f>'Lasgas bepaling'!$K$8</f>
        <v>7.2387844894938121E-5</v>
      </c>
      <c r="P15" s="150">
        <f>'Lasgas bepaling'!$K$8</f>
        <v>7.2387844894938121E-5</v>
      </c>
      <c r="Q15" s="151" t="s">
        <v>181</v>
      </c>
      <c r="R15" s="140" t="s">
        <v>40</v>
      </c>
      <c r="S15" s="152"/>
      <c r="T15" s="135"/>
      <c r="U15" s="135"/>
      <c r="V15" s="135"/>
      <c r="W15" s="135"/>
    </row>
    <row r="16" spans="1:23" x14ac:dyDescent="0.15">
      <c r="A16" s="153" t="s">
        <v>199</v>
      </c>
      <c r="B16" s="138"/>
      <c r="C16" s="135" t="s">
        <v>314</v>
      </c>
      <c r="D16" s="150">
        <f>'Lasgas bepaling'!$K$10</f>
        <v>0</v>
      </c>
      <c r="E16" s="150">
        <f>'Lasgas bepaling'!$K$10</f>
        <v>0</v>
      </c>
      <c r="F16" s="150">
        <f>'Lasgas bepaling'!$K$10</f>
        <v>0</v>
      </c>
      <c r="G16" s="150">
        <f>'Lasgas bepaling'!$K$10</f>
        <v>0</v>
      </c>
      <c r="H16" s="150">
        <f>'Lasgas bepaling'!$K$10</f>
        <v>0</v>
      </c>
      <c r="I16" s="150">
        <f>'Lasgas bepaling'!$K$10</f>
        <v>0</v>
      </c>
      <c r="J16" s="150">
        <f>'Lasgas bepaling'!$K$10</f>
        <v>0</v>
      </c>
      <c r="K16" s="150">
        <f>'Lasgas bepaling'!$K$10</f>
        <v>0</v>
      </c>
      <c r="L16" s="150">
        <f>'Lasgas bepaling'!$K$10</f>
        <v>0</v>
      </c>
      <c r="M16" s="150">
        <f>'Lasgas bepaling'!$K$10</f>
        <v>0</v>
      </c>
      <c r="N16" s="150">
        <f>'Lasgas bepaling'!$K$10</f>
        <v>0</v>
      </c>
      <c r="O16" s="150">
        <f>'Lasgas bepaling'!$K$10</f>
        <v>0</v>
      </c>
      <c r="P16" s="150">
        <f>'Lasgas bepaling'!$K$10</f>
        <v>0</v>
      </c>
      <c r="Q16" s="151" t="s">
        <v>181</v>
      </c>
      <c r="R16" s="140" t="s">
        <v>40</v>
      </c>
      <c r="S16" s="152"/>
      <c r="T16" s="135"/>
      <c r="U16" s="135"/>
      <c r="V16" s="135"/>
      <c r="W16" s="135"/>
    </row>
    <row r="17" spans="1:23" x14ac:dyDescent="0.15">
      <c r="A17" s="153" t="s">
        <v>200</v>
      </c>
      <c r="B17" s="138"/>
      <c r="C17" s="135" t="s">
        <v>315</v>
      </c>
      <c r="D17" s="150">
        <f>'Lasgas bepaling'!$K$11</f>
        <v>5.4290883671203585E-4</v>
      </c>
      <c r="E17" s="150">
        <f>'Lasgas bepaling'!$K$11</f>
        <v>5.4290883671203585E-4</v>
      </c>
      <c r="F17" s="150">
        <f>'Lasgas bepaling'!$K$11</f>
        <v>5.4290883671203585E-4</v>
      </c>
      <c r="G17" s="150">
        <f>'Lasgas bepaling'!$K$11</f>
        <v>5.4290883671203585E-4</v>
      </c>
      <c r="H17" s="150">
        <f>'Lasgas bepaling'!$K$11</f>
        <v>5.4290883671203585E-4</v>
      </c>
      <c r="I17" s="150">
        <f>'Lasgas bepaling'!$K$11</f>
        <v>5.4290883671203585E-4</v>
      </c>
      <c r="J17" s="150">
        <f>'Lasgas bepaling'!$K$11</f>
        <v>5.4290883671203585E-4</v>
      </c>
      <c r="K17" s="150">
        <f>'Lasgas bepaling'!$K$11</f>
        <v>5.4290883671203585E-4</v>
      </c>
      <c r="L17" s="150">
        <f>'Lasgas bepaling'!$K$11</f>
        <v>5.4290883671203585E-4</v>
      </c>
      <c r="M17" s="150">
        <f>'Lasgas bepaling'!$K$11</f>
        <v>5.4290883671203585E-4</v>
      </c>
      <c r="N17" s="150">
        <f>'Lasgas bepaling'!$K$11</f>
        <v>5.4290883671203585E-4</v>
      </c>
      <c r="O17" s="150">
        <f>'Lasgas bepaling'!$K$11</f>
        <v>5.4290883671203585E-4</v>
      </c>
      <c r="P17" s="150">
        <f>'Lasgas bepaling'!$K$11</f>
        <v>5.4290883671203585E-4</v>
      </c>
      <c r="Q17" s="151" t="s">
        <v>181</v>
      </c>
      <c r="R17" s="140" t="s">
        <v>40</v>
      </c>
      <c r="S17" s="152"/>
      <c r="T17" s="135"/>
      <c r="U17" s="135"/>
      <c r="V17" s="135"/>
      <c r="W17" s="135"/>
    </row>
    <row r="18" spans="1:23" x14ac:dyDescent="0.15">
      <c r="A18" s="153" t="s">
        <v>202</v>
      </c>
      <c r="B18" s="138"/>
      <c r="C18" s="135" t="s">
        <v>318</v>
      </c>
      <c r="D18" s="150">
        <f>'Lasgas bepaling'!$K$13</f>
        <v>7.2387844894938099E-4</v>
      </c>
      <c r="E18" s="150">
        <f>'Lasgas bepaling'!$K$13</f>
        <v>7.2387844894938099E-4</v>
      </c>
      <c r="F18" s="150">
        <f>'Lasgas bepaling'!$K$13</f>
        <v>7.2387844894938099E-4</v>
      </c>
      <c r="G18" s="150">
        <f>'Lasgas bepaling'!$K$13</f>
        <v>7.2387844894938099E-4</v>
      </c>
      <c r="H18" s="150">
        <f>'Lasgas bepaling'!$K$13</f>
        <v>7.2387844894938099E-4</v>
      </c>
      <c r="I18" s="150">
        <f>'Lasgas bepaling'!$K$13</f>
        <v>7.2387844894938099E-4</v>
      </c>
      <c r="J18" s="150">
        <f>'Lasgas bepaling'!$K$13</f>
        <v>7.2387844894938099E-4</v>
      </c>
      <c r="K18" s="150">
        <f>'Lasgas bepaling'!$K$13</f>
        <v>7.2387844894938099E-4</v>
      </c>
      <c r="L18" s="150">
        <f>'Lasgas bepaling'!$K$13</f>
        <v>7.2387844894938099E-4</v>
      </c>
      <c r="M18" s="150">
        <f>'Lasgas bepaling'!$K$13</f>
        <v>7.2387844894938099E-4</v>
      </c>
      <c r="N18" s="150">
        <f>'Lasgas bepaling'!$K$13</f>
        <v>7.2387844894938099E-4</v>
      </c>
      <c r="O18" s="150">
        <f>'Lasgas bepaling'!$K$13</f>
        <v>7.2387844894938099E-4</v>
      </c>
      <c r="P18" s="150">
        <f>'Lasgas bepaling'!$K$13</f>
        <v>7.2387844894938099E-4</v>
      </c>
      <c r="Q18" s="151" t="s">
        <v>181</v>
      </c>
      <c r="R18" s="140" t="s">
        <v>40</v>
      </c>
      <c r="S18" s="152"/>
      <c r="T18" s="135"/>
      <c r="U18" s="135"/>
      <c r="V18" s="135"/>
      <c r="W18" s="135"/>
    </row>
    <row r="19" spans="1:23" x14ac:dyDescent="0.15">
      <c r="A19" s="153" t="s">
        <v>203</v>
      </c>
      <c r="B19" s="138"/>
      <c r="C19" s="135" t="s">
        <v>319</v>
      </c>
      <c r="D19" s="150">
        <f>'Lasgas bepaling'!$K$14</f>
        <v>0</v>
      </c>
      <c r="E19" s="150">
        <f>'Lasgas bepaling'!$K$14</f>
        <v>0</v>
      </c>
      <c r="F19" s="150">
        <f>'Lasgas bepaling'!$K$14</f>
        <v>0</v>
      </c>
      <c r="G19" s="150">
        <f>'Lasgas bepaling'!$K$14</f>
        <v>0</v>
      </c>
      <c r="H19" s="150">
        <f>'Lasgas bepaling'!$K$14</f>
        <v>0</v>
      </c>
      <c r="I19" s="150">
        <f>'Lasgas bepaling'!$K$14</f>
        <v>0</v>
      </c>
      <c r="J19" s="150">
        <f>'Lasgas bepaling'!$K$14</f>
        <v>0</v>
      </c>
      <c r="K19" s="150">
        <f>'Lasgas bepaling'!$K$14</f>
        <v>0</v>
      </c>
      <c r="L19" s="150">
        <f>'Lasgas bepaling'!$K$14</f>
        <v>0</v>
      </c>
      <c r="M19" s="150">
        <f>'Lasgas bepaling'!$K$14</f>
        <v>0</v>
      </c>
      <c r="N19" s="150">
        <f>'Lasgas bepaling'!$K$14</f>
        <v>0</v>
      </c>
      <c r="O19" s="150">
        <f>'Lasgas bepaling'!$K$14</f>
        <v>0</v>
      </c>
      <c r="P19" s="150">
        <f>'Lasgas bepaling'!$K$14</f>
        <v>0</v>
      </c>
      <c r="Q19" s="151" t="s">
        <v>181</v>
      </c>
      <c r="R19" s="140" t="s">
        <v>40</v>
      </c>
      <c r="S19" s="152"/>
      <c r="T19" s="135"/>
      <c r="U19" s="135"/>
      <c r="V19" s="135"/>
      <c r="W19" s="135"/>
    </row>
    <row r="20" spans="1:23" x14ac:dyDescent="0.15">
      <c r="A20" s="153" t="s">
        <v>204</v>
      </c>
      <c r="B20" s="138"/>
      <c r="C20" s="135" t="s">
        <v>320</v>
      </c>
      <c r="D20" s="150">
        <f>'Lasgas bepaling'!$K$15</f>
        <v>0</v>
      </c>
      <c r="E20" s="150">
        <f>'Lasgas bepaling'!$K$15</f>
        <v>0</v>
      </c>
      <c r="F20" s="150">
        <f>'Lasgas bepaling'!$K$15</f>
        <v>0</v>
      </c>
      <c r="G20" s="150">
        <f>'Lasgas bepaling'!$K$15</f>
        <v>0</v>
      </c>
      <c r="H20" s="150">
        <f>'Lasgas bepaling'!$K$15</f>
        <v>0</v>
      </c>
      <c r="I20" s="150">
        <f>'Lasgas bepaling'!$K$15</f>
        <v>0</v>
      </c>
      <c r="J20" s="150">
        <f>'Lasgas bepaling'!$K$15</f>
        <v>0</v>
      </c>
      <c r="K20" s="150">
        <f>'Lasgas bepaling'!$K$15</f>
        <v>0</v>
      </c>
      <c r="L20" s="150">
        <f>'Lasgas bepaling'!$K$15</f>
        <v>0</v>
      </c>
      <c r="M20" s="150">
        <f>'Lasgas bepaling'!$K$15</f>
        <v>0</v>
      </c>
      <c r="N20" s="150">
        <f>'Lasgas bepaling'!$K$15</f>
        <v>0</v>
      </c>
      <c r="O20" s="150">
        <f>'Lasgas bepaling'!$K$15</f>
        <v>0</v>
      </c>
      <c r="P20" s="150">
        <f>'Lasgas bepaling'!$K$15</f>
        <v>0</v>
      </c>
      <c r="Q20" s="151" t="s">
        <v>181</v>
      </c>
      <c r="R20" s="140" t="s">
        <v>40</v>
      </c>
      <c r="S20" s="152"/>
      <c r="T20" s="135"/>
      <c r="U20" s="135"/>
      <c r="V20" s="135"/>
      <c r="W20" s="135"/>
    </row>
    <row r="21" spans="1:23" x14ac:dyDescent="0.15">
      <c r="A21" s="153" t="s">
        <v>205</v>
      </c>
      <c r="B21" s="138"/>
      <c r="C21" s="135" t="s">
        <v>321</v>
      </c>
      <c r="D21" s="150" t="e">
        <f>'Lasgas bepaling'!#REF!</f>
        <v>#REF!</v>
      </c>
      <c r="E21" s="150" t="e">
        <f>'Lasgas bepaling'!#REF!</f>
        <v>#REF!</v>
      </c>
      <c r="F21" s="150">
        <f>'Lasgas bepaling'!$K$16</f>
        <v>0</v>
      </c>
      <c r="G21" s="150">
        <f>'Lasgas bepaling'!$K$16</f>
        <v>0</v>
      </c>
      <c r="H21" s="150">
        <f>'Lasgas bepaling'!$K$16</f>
        <v>0</v>
      </c>
      <c r="I21" s="150">
        <f>'Lasgas bepaling'!$K$16</f>
        <v>0</v>
      </c>
      <c r="J21" s="150">
        <f>'Lasgas bepaling'!$K$16</f>
        <v>0</v>
      </c>
      <c r="K21" s="150">
        <f>'Lasgas bepaling'!$K$16</f>
        <v>0</v>
      </c>
      <c r="L21" s="150">
        <f>'Lasgas bepaling'!$K$16</f>
        <v>0</v>
      </c>
      <c r="M21" s="150">
        <f>'Lasgas bepaling'!$K$16</f>
        <v>0</v>
      </c>
      <c r="N21" s="150">
        <f>'Lasgas bepaling'!$K$16</f>
        <v>0</v>
      </c>
      <c r="O21" s="150">
        <f>'Lasgas bepaling'!$K$16</f>
        <v>0</v>
      </c>
      <c r="P21" s="150">
        <f>'Lasgas bepaling'!$K$16</f>
        <v>0</v>
      </c>
      <c r="Q21" s="151" t="s">
        <v>181</v>
      </c>
      <c r="R21" s="140" t="s">
        <v>40</v>
      </c>
      <c r="S21" s="152"/>
      <c r="T21" s="135"/>
      <c r="U21" s="135"/>
      <c r="V21" s="135"/>
      <c r="W21" s="135"/>
    </row>
    <row r="22" spans="1:23" x14ac:dyDescent="0.15">
      <c r="A22" s="148" t="s">
        <v>123</v>
      </c>
      <c r="B22" s="138"/>
      <c r="C22" s="135" t="s">
        <v>296</v>
      </c>
      <c r="D22" s="150">
        <v>1.725E-3</v>
      </c>
      <c r="E22" s="150">
        <v>1.725E-3</v>
      </c>
      <c r="F22" s="150">
        <v>1.725E-3</v>
      </c>
      <c r="G22" s="150">
        <v>1.725E-3</v>
      </c>
      <c r="H22" s="150">
        <v>1.725E-3</v>
      </c>
      <c r="I22" s="150">
        <v>1.725E-3</v>
      </c>
      <c r="J22" s="150">
        <v>1.725E-3</v>
      </c>
      <c r="K22" s="150">
        <v>1.725E-3</v>
      </c>
      <c r="L22" s="150">
        <v>1.725E-3</v>
      </c>
      <c r="M22" s="150">
        <v>1.725E-3</v>
      </c>
      <c r="N22" s="150">
        <v>1.725E-3</v>
      </c>
      <c r="O22" s="150">
        <v>1.725E-3</v>
      </c>
      <c r="P22" s="150">
        <v>1.725E-3</v>
      </c>
      <c r="Q22" s="151" t="s">
        <v>181</v>
      </c>
      <c r="R22" s="140" t="s">
        <v>36</v>
      </c>
      <c r="S22" s="152" t="s">
        <v>224</v>
      </c>
      <c r="T22" s="135"/>
      <c r="U22" s="135"/>
      <c r="V22" s="135"/>
      <c r="W22" s="135"/>
    </row>
    <row r="23" spans="1:23" ht="14" thickBot="1" x14ac:dyDescent="0.2">
      <c r="A23" s="154" t="s">
        <v>12</v>
      </c>
      <c r="B23" s="404"/>
      <c r="C23" s="405" t="s">
        <v>297</v>
      </c>
      <c r="D23" s="406">
        <v>7.4999999999999993E-5</v>
      </c>
      <c r="E23" s="150">
        <v>7.4999999999999993E-5</v>
      </c>
      <c r="F23" s="150">
        <v>7.4999999999999993E-5</v>
      </c>
      <c r="G23" s="150">
        <v>7.4999999999999993E-5</v>
      </c>
      <c r="H23" s="150">
        <v>7.4999999999999993E-5</v>
      </c>
      <c r="I23" s="150">
        <v>7.4999999999999993E-5</v>
      </c>
      <c r="J23" s="150">
        <v>7.4999999999999993E-5</v>
      </c>
      <c r="K23" s="150">
        <v>7.4999999999999993E-5</v>
      </c>
      <c r="L23" s="155">
        <f>0.075/1000</f>
        <v>7.4999999999999993E-5</v>
      </c>
      <c r="M23" s="155">
        <f>0.044/1000</f>
        <v>4.3999999999999999E-5</v>
      </c>
      <c r="N23" s="155">
        <f>0.044/1000</f>
        <v>4.3999999999999999E-5</v>
      </c>
      <c r="O23" s="155">
        <f>0.071/1000</f>
        <v>7.0999999999999991E-5</v>
      </c>
      <c r="P23" s="155">
        <f>0.071/1000</f>
        <v>7.0999999999999991E-5</v>
      </c>
      <c r="Q23" s="156" t="s">
        <v>182</v>
      </c>
      <c r="R23" s="157" t="s">
        <v>36</v>
      </c>
      <c r="S23" s="158"/>
      <c r="T23" s="135"/>
      <c r="U23" s="135"/>
      <c r="V23" s="135"/>
      <c r="W23" s="135"/>
    </row>
    <row r="24" spans="1:23" x14ac:dyDescent="0.15">
      <c r="A24" s="159" t="s">
        <v>62</v>
      </c>
      <c r="B24" s="138"/>
      <c r="C24" s="135"/>
      <c r="D24" s="149"/>
      <c r="E24" s="160"/>
      <c r="F24" s="160"/>
      <c r="G24" s="160"/>
      <c r="H24" s="160"/>
      <c r="I24" s="160"/>
      <c r="J24" s="160"/>
      <c r="K24" s="160"/>
      <c r="L24" s="161"/>
      <c r="M24" s="161"/>
      <c r="N24" s="161"/>
      <c r="O24" s="161"/>
      <c r="P24" s="161"/>
      <c r="Q24" s="162"/>
      <c r="R24" s="163"/>
      <c r="S24" s="164"/>
      <c r="T24" s="135"/>
      <c r="U24" s="135"/>
      <c r="V24" s="135"/>
      <c r="W24" s="135"/>
    </row>
    <row r="25" spans="1:23" x14ac:dyDescent="0.15">
      <c r="A25" s="165" t="s">
        <v>43</v>
      </c>
      <c r="B25" s="138" t="s">
        <v>17</v>
      </c>
      <c r="C25" s="135"/>
      <c r="D25" s="149"/>
      <c r="E25" s="149"/>
      <c r="F25" s="149"/>
      <c r="G25" s="149"/>
      <c r="H25" s="149"/>
      <c r="I25" s="149"/>
      <c r="J25" s="149"/>
      <c r="K25" s="149"/>
      <c r="L25" s="150"/>
      <c r="M25" s="150"/>
      <c r="N25" s="150"/>
      <c r="O25" s="150"/>
      <c r="P25" s="150"/>
      <c r="Q25" s="151"/>
      <c r="R25" s="140"/>
      <c r="S25" s="152"/>
      <c r="T25" s="135"/>
      <c r="U25" s="135"/>
      <c r="V25" s="135"/>
      <c r="W25" s="135"/>
    </row>
    <row r="26" spans="1:23" x14ac:dyDescent="0.15">
      <c r="A26" s="148" t="s">
        <v>27</v>
      </c>
      <c r="B26" s="138" t="s">
        <v>26</v>
      </c>
      <c r="C26" s="135" t="s">
        <v>322</v>
      </c>
      <c r="D26" s="149">
        <v>5.2599999999999999E-4</v>
      </c>
      <c r="E26" s="149">
        <v>5.2599999999999999E-4</v>
      </c>
      <c r="F26" s="149">
        <v>5.2599999999999999E-4</v>
      </c>
      <c r="G26" s="149">
        <v>5.2599999999999999E-4</v>
      </c>
      <c r="H26" s="149">
        <v>5.2599999999999999E-4</v>
      </c>
      <c r="I26" s="149">
        <v>6.4899999999999995E-4</v>
      </c>
      <c r="J26" s="149">
        <v>5.2599999999999999E-4</v>
      </c>
      <c r="K26" s="149">
        <v>5.5599999999999996E-4</v>
      </c>
      <c r="L26" s="150">
        <f>0.556/1000</f>
        <v>5.5600000000000007E-4</v>
      </c>
      <c r="M26" s="150">
        <f>0.523/1000</f>
        <v>5.2300000000000003E-4</v>
      </c>
      <c r="N26" s="150">
        <f>0.456/1000</f>
        <v>4.5600000000000003E-4</v>
      </c>
      <c r="O26" s="150">
        <f>0.536/1000</f>
        <v>5.3600000000000002E-4</v>
      </c>
      <c r="P26" s="150">
        <f>0.497/1000</f>
        <v>4.9700000000000005E-4</v>
      </c>
      <c r="Q26" s="151" t="s">
        <v>182</v>
      </c>
      <c r="R26" s="140" t="s">
        <v>36</v>
      </c>
      <c r="S26" s="152"/>
      <c r="T26" s="135"/>
      <c r="U26" s="135"/>
      <c r="V26" s="135"/>
      <c r="W26" s="135"/>
    </row>
    <row r="27" spans="1:23" x14ac:dyDescent="0.15">
      <c r="A27" s="148" t="s">
        <v>27</v>
      </c>
      <c r="B27" s="138" t="s">
        <v>30</v>
      </c>
      <c r="C27" s="135" t="s">
        <v>323</v>
      </c>
      <c r="D27" s="150">
        <v>0</v>
      </c>
      <c r="E27" s="150">
        <v>0</v>
      </c>
      <c r="F27" s="150">
        <v>0</v>
      </c>
      <c r="G27" s="150">
        <v>0</v>
      </c>
      <c r="H27" s="150">
        <v>0</v>
      </c>
      <c r="I27" s="150">
        <v>0</v>
      </c>
      <c r="J27" s="150">
        <v>0</v>
      </c>
      <c r="K27" s="150">
        <v>0</v>
      </c>
      <c r="L27" s="150">
        <v>0</v>
      </c>
      <c r="M27" s="150">
        <v>0</v>
      </c>
      <c r="N27" s="150">
        <v>0</v>
      </c>
      <c r="O27" s="150">
        <v>0</v>
      </c>
      <c r="P27" s="150">
        <v>0</v>
      </c>
      <c r="Q27" s="151" t="s">
        <v>182</v>
      </c>
      <c r="R27" s="140" t="s">
        <v>36</v>
      </c>
      <c r="S27" s="152"/>
      <c r="T27" s="135"/>
      <c r="U27" s="135"/>
      <c r="V27" s="135"/>
      <c r="W27" s="135"/>
    </row>
    <row r="28" spans="1:23" x14ac:dyDescent="0.15">
      <c r="A28" s="148" t="s">
        <v>27</v>
      </c>
      <c r="B28" s="138" t="s">
        <v>28</v>
      </c>
      <c r="C28" s="135" t="s">
        <v>324</v>
      </c>
      <c r="D28" s="150">
        <v>0</v>
      </c>
      <c r="E28" s="150">
        <v>0</v>
      </c>
      <c r="F28" s="150">
        <v>0</v>
      </c>
      <c r="G28" s="150">
        <v>0</v>
      </c>
      <c r="H28" s="150">
        <v>0</v>
      </c>
      <c r="I28" s="150">
        <v>0</v>
      </c>
      <c r="J28" s="150">
        <v>0</v>
      </c>
      <c r="K28" s="150">
        <v>0</v>
      </c>
      <c r="L28" s="150">
        <v>0</v>
      </c>
      <c r="M28" s="150">
        <v>0</v>
      </c>
      <c r="N28" s="150">
        <v>0</v>
      </c>
      <c r="O28" s="150">
        <v>0</v>
      </c>
      <c r="P28" s="150">
        <v>0</v>
      </c>
      <c r="Q28" s="151" t="s">
        <v>182</v>
      </c>
      <c r="R28" s="140" t="s">
        <v>36</v>
      </c>
      <c r="S28" s="152"/>
      <c r="T28" s="135"/>
      <c r="U28" s="135"/>
      <c r="V28" s="135"/>
      <c r="W28" s="135"/>
    </row>
    <row r="29" spans="1:23" x14ac:dyDescent="0.15">
      <c r="A29" s="148" t="s">
        <v>27</v>
      </c>
      <c r="B29" s="138" t="s">
        <v>29</v>
      </c>
      <c r="C29" s="135" t="s">
        <v>271</v>
      </c>
      <c r="D29" s="150">
        <v>0</v>
      </c>
      <c r="E29" s="150">
        <v>0</v>
      </c>
      <c r="F29" s="150">
        <v>0</v>
      </c>
      <c r="G29" s="150">
        <v>0</v>
      </c>
      <c r="H29" s="150">
        <v>0</v>
      </c>
      <c r="I29" s="150">
        <v>0</v>
      </c>
      <c r="J29" s="150">
        <v>0</v>
      </c>
      <c r="K29" s="150">
        <v>0</v>
      </c>
      <c r="L29" s="150">
        <v>0</v>
      </c>
      <c r="M29" s="150">
        <v>0</v>
      </c>
      <c r="N29" s="150">
        <v>0</v>
      </c>
      <c r="O29" s="150">
        <v>0</v>
      </c>
      <c r="P29" s="150">
        <v>0</v>
      </c>
      <c r="Q29" s="151" t="s">
        <v>182</v>
      </c>
      <c r="R29" s="140" t="s">
        <v>36</v>
      </c>
      <c r="S29" s="152"/>
      <c r="T29" s="135"/>
      <c r="U29" s="135"/>
      <c r="V29" s="135"/>
      <c r="W29" s="135"/>
    </row>
    <row r="30" spans="1:23" x14ac:dyDescent="0.15">
      <c r="A30" s="148" t="s">
        <v>27</v>
      </c>
      <c r="B30" s="138" t="s">
        <v>12</v>
      </c>
      <c r="C30" s="135" t="s">
        <v>325</v>
      </c>
      <c r="D30" s="150">
        <v>1.8900000000000001E-4</v>
      </c>
      <c r="E30" s="150">
        <v>1.8900000000000001E-4</v>
      </c>
      <c r="F30" s="150">
        <v>1.8900000000000001E-4</v>
      </c>
      <c r="G30" s="150">
        <v>1.8900000000000001E-4</v>
      </c>
      <c r="H30" s="150">
        <v>1.8900000000000001E-4</v>
      </c>
      <c r="I30" s="150">
        <v>7.4999999999999993E-5</v>
      </c>
      <c r="J30" s="150">
        <v>7.4999999999999993E-5</v>
      </c>
      <c r="K30" s="150">
        <v>7.4999999999999993E-5</v>
      </c>
      <c r="L30" s="150">
        <v>7.4999999999999993E-5</v>
      </c>
      <c r="M30" s="150">
        <v>4.3999999999999999E-5</v>
      </c>
      <c r="N30" s="150">
        <f>0.044/1000</f>
        <v>4.3999999999999999E-5</v>
      </c>
      <c r="O30" s="150">
        <f>0.071/1000</f>
        <v>7.0999999999999991E-5</v>
      </c>
      <c r="P30" s="150">
        <v>7.1000000000000005E-5</v>
      </c>
      <c r="Q30" s="151" t="s">
        <v>182</v>
      </c>
      <c r="R30" s="140" t="s">
        <v>36</v>
      </c>
      <c r="S30" s="152"/>
      <c r="T30" s="135"/>
      <c r="U30" s="135"/>
      <c r="V30" s="135"/>
      <c r="W30" s="135"/>
    </row>
    <row r="31" spans="1:23" x14ac:dyDescent="0.15">
      <c r="A31" s="148" t="s">
        <v>44</v>
      </c>
      <c r="B31" s="138" t="s">
        <v>26</v>
      </c>
      <c r="C31" s="135" t="s">
        <v>326</v>
      </c>
      <c r="D31" s="149">
        <v>5.2599999999999999E-4</v>
      </c>
      <c r="E31" s="149">
        <v>5.2599999999999999E-4</v>
      </c>
      <c r="F31" s="149">
        <v>5.2599999999999999E-4</v>
      </c>
      <c r="G31" s="149">
        <v>5.2599999999999999E-4</v>
      </c>
      <c r="H31" s="149">
        <v>5.2599999999999999E-4</v>
      </c>
      <c r="I31" s="149">
        <v>6.4899999999999995E-4</v>
      </c>
      <c r="J31" s="149">
        <v>5.2599999999999999E-4</v>
      </c>
      <c r="K31" s="149">
        <v>5.5599999999999996E-4</v>
      </c>
      <c r="L31" s="150">
        <f t="shared" ref="L31:L35" si="3">0.556/1000</f>
        <v>5.5600000000000007E-4</v>
      </c>
      <c r="M31" s="150">
        <f>0.523/1000</f>
        <v>5.2300000000000003E-4</v>
      </c>
      <c r="N31" s="150">
        <f t="shared" ref="N31:N34" si="4">0.456/1000</f>
        <v>4.5600000000000003E-4</v>
      </c>
      <c r="O31" s="150">
        <f t="shared" ref="O31:O34" si="5">0.536/1000</f>
        <v>5.3600000000000002E-4</v>
      </c>
      <c r="P31" s="150">
        <f t="shared" ref="P31:P35" si="6">0.497/1000</f>
        <v>4.9700000000000005E-4</v>
      </c>
      <c r="Q31" s="151" t="s">
        <v>182</v>
      </c>
      <c r="R31" s="140" t="s">
        <v>36</v>
      </c>
      <c r="S31" s="152"/>
      <c r="T31" s="135"/>
      <c r="U31" s="135"/>
      <c r="V31" s="135"/>
      <c r="W31" s="135"/>
    </row>
    <row r="32" spans="1:23" x14ac:dyDescent="0.15">
      <c r="A32" s="148" t="s">
        <v>44</v>
      </c>
      <c r="B32" s="138" t="s">
        <v>30</v>
      </c>
      <c r="C32" s="135" t="s">
        <v>327</v>
      </c>
      <c r="D32" s="149">
        <v>5.2599999999999999E-4</v>
      </c>
      <c r="E32" s="149">
        <v>5.2599999999999999E-4</v>
      </c>
      <c r="F32" s="149">
        <v>5.2599999999999999E-4</v>
      </c>
      <c r="G32" s="149">
        <v>5.2599999999999999E-4</v>
      </c>
      <c r="H32" s="149">
        <v>5.2599999999999999E-4</v>
      </c>
      <c r="I32" s="149">
        <v>6.4899999999999995E-4</v>
      </c>
      <c r="J32" s="149">
        <v>5.2599999999999999E-4</v>
      </c>
      <c r="K32" s="149">
        <v>5.5599999999999996E-4</v>
      </c>
      <c r="L32" s="150">
        <f t="shared" si="3"/>
        <v>5.5600000000000007E-4</v>
      </c>
      <c r="M32" s="150">
        <f t="shared" ref="M32:M34" si="7">0.523/1000</f>
        <v>5.2300000000000003E-4</v>
      </c>
      <c r="N32" s="150">
        <f t="shared" si="4"/>
        <v>4.5600000000000003E-4</v>
      </c>
      <c r="O32" s="150">
        <f t="shared" si="5"/>
        <v>5.3600000000000002E-4</v>
      </c>
      <c r="P32" s="150">
        <f t="shared" si="6"/>
        <v>4.9700000000000005E-4</v>
      </c>
      <c r="Q32" s="151" t="s">
        <v>182</v>
      </c>
      <c r="R32" s="140" t="s">
        <v>36</v>
      </c>
      <c r="S32" s="152"/>
      <c r="T32" s="135"/>
      <c r="U32" s="135"/>
      <c r="V32" s="135"/>
      <c r="W32" s="135"/>
    </row>
    <row r="33" spans="1:23" x14ac:dyDescent="0.15">
      <c r="A33" s="148" t="s">
        <v>44</v>
      </c>
      <c r="B33" s="138" t="s">
        <v>28</v>
      </c>
      <c r="C33" s="135" t="s">
        <v>328</v>
      </c>
      <c r="D33" s="149">
        <v>5.2599999999999999E-4</v>
      </c>
      <c r="E33" s="149">
        <v>5.2599999999999999E-4</v>
      </c>
      <c r="F33" s="149">
        <v>5.2599999999999999E-4</v>
      </c>
      <c r="G33" s="149">
        <v>5.2599999999999999E-4</v>
      </c>
      <c r="H33" s="149">
        <v>5.2599999999999999E-4</v>
      </c>
      <c r="I33" s="149">
        <v>6.4899999999999995E-4</v>
      </c>
      <c r="J33" s="149">
        <v>5.2599999999999999E-4</v>
      </c>
      <c r="K33" s="149">
        <v>5.5599999999999996E-4</v>
      </c>
      <c r="L33" s="150">
        <f t="shared" si="3"/>
        <v>5.5600000000000007E-4</v>
      </c>
      <c r="M33" s="150">
        <f t="shared" si="7"/>
        <v>5.2300000000000003E-4</v>
      </c>
      <c r="N33" s="150">
        <f t="shared" si="4"/>
        <v>4.5600000000000003E-4</v>
      </c>
      <c r="O33" s="150">
        <f t="shared" si="5"/>
        <v>5.3600000000000002E-4</v>
      </c>
      <c r="P33" s="150">
        <f t="shared" si="6"/>
        <v>4.9700000000000005E-4</v>
      </c>
      <c r="Q33" s="151" t="s">
        <v>182</v>
      </c>
      <c r="R33" s="140" t="s">
        <v>36</v>
      </c>
      <c r="S33" s="152"/>
      <c r="T33" s="135"/>
      <c r="U33" s="135"/>
      <c r="V33" s="135"/>
      <c r="W33" s="135"/>
    </row>
    <row r="34" spans="1:23" x14ac:dyDescent="0.15">
      <c r="A34" s="148" t="s">
        <v>44</v>
      </c>
      <c r="B34" s="138" t="s">
        <v>29</v>
      </c>
      <c r="C34" s="135" t="s">
        <v>329</v>
      </c>
      <c r="D34" s="149">
        <v>5.2599999999999999E-4</v>
      </c>
      <c r="E34" s="149">
        <v>5.2599999999999999E-4</v>
      </c>
      <c r="F34" s="149">
        <v>5.2599999999999999E-4</v>
      </c>
      <c r="G34" s="149">
        <v>5.2599999999999999E-4</v>
      </c>
      <c r="H34" s="149">
        <v>5.2599999999999999E-4</v>
      </c>
      <c r="I34" s="149">
        <v>6.4899999999999995E-4</v>
      </c>
      <c r="J34" s="149">
        <v>5.2599999999999999E-4</v>
      </c>
      <c r="K34" s="149">
        <v>5.5599999999999996E-4</v>
      </c>
      <c r="L34" s="150">
        <f t="shared" si="3"/>
        <v>5.5600000000000007E-4</v>
      </c>
      <c r="M34" s="150">
        <f t="shared" si="7"/>
        <v>5.2300000000000003E-4</v>
      </c>
      <c r="N34" s="150">
        <f t="shared" si="4"/>
        <v>4.5600000000000003E-4</v>
      </c>
      <c r="O34" s="150">
        <f t="shared" si="5"/>
        <v>5.3600000000000002E-4</v>
      </c>
      <c r="P34" s="150">
        <f t="shared" si="6"/>
        <v>4.9700000000000005E-4</v>
      </c>
      <c r="Q34" s="151" t="s">
        <v>182</v>
      </c>
      <c r="R34" s="140" t="s">
        <v>36</v>
      </c>
      <c r="S34" s="152"/>
      <c r="T34" s="135"/>
      <c r="U34" s="135"/>
      <c r="V34" s="135"/>
      <c r="W34" s="135"/>
    </row>
    <row r="35" spans="1:23" ht="14" thickBot="1" x14ac:dyDescent="0.2">
      <c r="A35" s="148" t="s">
        <v>44</v>
      </c>
      <c r="B35" s="138" t="s">
        <v>12</v>
      </c>
      <c r="C35" s="135" t="s">
        <v>330</v>
      </c>
      <c r="D35" s="149">
        <v>5.2599999999999999E-4</v>
      </c>
      <c r="E35" s="149">
        <v>5.2599999999999999E-4</v>
      </c>
      <c r="F35" s="149">
        <v>5.2599999999999999E-4</v>
      </c>
      <c r="G35" s="149">
        <v>5.2599999999999999E-4</v>
      </c>
      <c r="H35" s="149">
        <v>5.2599999999999999E-4</v>
      </c>
      <c r="I35" s="149">
        <v>6.4899999999999995E-4</v>
      </c>
      <c r="J35" s="149">
        <v>5.2599999999999999E-4</v>
      </c>
      <c r="K35" s="149">
        <v>5.5599999999999996E-4</v>
      </c>
      <c r="L35" s="150">
        <f t="shared" si="3"/>
        <v>5.5600000000000007E-4</v>
      </c>
      <c r="M35" s="150">
        <f>0.044/1000</f>
        <v>4.3999999999999999E-5</v>
      </c>
      <c r="N35" s="150">
        <f>0.044/1000</f>
        <v>4.3999999999999999E-5</v>
      </c>
      <c r="O35" s="150">
        <f>0.071/1000</f>
        <v>7.0999999999999991E-5</v>
      </c>
      <c r="P35" s="150">
        <f t="shared" si="6"/>
        <v>4.9700000000000005E-4</v>
      </c>
      <c r="Q35" s="151" t="s">
        <v>182</v>
      </c>
      <c r="R35" s="140" t="s">
        <v>36</v>
      </c>
      <c r="S35" s="152"/>
      <c r="T35" s="135"/>
      <c r="U35" s="135"/>
      <c r="V35" s="135"/>
      <c r="W35" s="135"/>
    </row>
    <row r="36" spans="1:23" ht="14" thickBot="1" x14ac:dyDescent="0.2">
      <c r="A36" s="142" t="s">
        <v>59</v>
      </c>
      <c r="B36" s="59"/>
      <c r="C36" s="344"/>
      <c r="D36" s="58"/>
      <c r="E36" s="58"/>
      <c r="F36" s="58"/>
      <c r="G36" s="58"/>
      <c r="H36" s="58"/>
      <c r="I36" s="58"/>
      <c r="J36" s="58"/>
      <c r="K36" s="58"/>
      <c r="L36" s="609"/>
      <c r="M36" s="609"/>
      <c r="N36" s="609"/>
      <c r="O36" s="609"/>
      <c r="P36" s="609"/>
      <c r="Q36" s="57"/>
      <c r="R36" s="146"/>
      <c r="S36" s="147"/>
      <c r="T36" s="135"/>
      <c r="U36" s="135"/>
      <c r="V36" s="135"/>
      <c r="W36" s="135"/>
    </row>
    <row r="37" spans="1:23" ht="14" thickBot="1" x14ac:dyDescent="0.2">
      <c r="A37" s="703" t="s">
        <v>442</v>
      </c>
      <c r="B37" s="59"/>
      <c r="C37" s="344"/>
      <c r="D37" s="58"/>
      <c r="E37" s="58"/>
      <c r="F37" s="58"/>
      <c r="G37" s="58"/>
      <c r="H37" s="58"/>
      <c r="I37" s="58"/>
      <c r="J37" s="58"/>
      <c r="K37" s="58"/>
      <c r="L37" s="609"/>
      <c r="M37" s="609"/>
      <c r="N37" s="609"/>
      <c r="O37" s="609"/>
      <c r="P37" s="609"/>
      <c r="Q37" s="57"/>
      <c r="R37" s="146"/>
      <c r="S37" s="147"/>
      <c r="T37" s="135"/>
      <c r="U37" s="135"/>
      <c r="V37" s="135"/>
      <c r="W37" s="135"/>
    </row>
    <row r="38" spans="1:23" ht="14" thickBot="1" x14ac:dyDescent="0.2">
      <c r="A38" s="703" t="s">
        <v>443</v>
      </c>
      <c r="B38" s="59"/>
      <c r="C38" s="344"/>
      <c r="D38" s="58"/>
      <c r="E38" s="58"/>
      <c r="F38" s="58"/>
      <c r="G38" s="58"/>
      <c r="H38" s="58"/>
      <c r="I38" s="58"/>
      <c r="J38" s="58"/>
      <c r="K38" s="58"/>
      <c r="L38" s="609"/>
      <c r="M38" s="609"/>
      <c r="N38" s="609"/>
      <c r="O38" s="609"/>
      <c r="P38" s="609"/>
      <c r="Q38" s="57"/>
      <c r="R38" s="146"/>
      <c r="S38" s="147"/>
      <c r="T38" s="135"/>
      <c r="U38" s="135"/>
      <c r="V38" s="135"/>
      <c r="W38" s="135"/>
    </row>
    <row r="39" spans="1:23" ht="14" thickBot="1" x14ac:dyDescent="0.2">
      <c r="A39" s="703" t="s">
        <v>444</v>
      </c>
      <c r="B39" s="59"/>
      <c r="C39" s="344"/>
      <c r="D39" s="58"/>
      <c r="E39" s="58"/>
      <c r="F39" s="58"/>
      <c r="G39" s="58"/>
      <c r="H39" s="58"/>
      <c r="I39" s="58"/>
      <c r="J39" s="58"/>
      <c r="K39" s="58"/>
      <c r="L39" s="609"/>
      <c r="M39" s="609"/>
      <c r="N39" s="609"/>
      <c r="O39" s="609"/>
      <c r="P39" s="609"/>
      <c r="Q39" s="57"/>
      <c r="R39" s="146"/>
      <c r="S39" s="147"/>
      <c r="T39" s="135"/>
      <c r="U39" s="135"/>
      <c r="V39" s="135"/>
      <c r="W39" s="135"/>
    </row>
    <row r="40" spans="1:23" ht="14" thickBot="1" x14ac:dyDescent="0.2">
      <c r="A40" s="703" t="s">
        <v>446</v>
      </c>
      <c r="B40" s="59"/>
      <c r="C40" s="344"/>
      <c r="D40" s="58"/>
      <c r="E40" s="58"/>
      <c r="F40" s="58"/>
      <c r="G40" s="58"/>
      <c r="H40" s="58"/>
      <c r="I40" s="58"/>
      <c r="J40" s="58"/>
      <c r="K40" s="58"/>
      <c r="L40" s="609"/>
      <c r="M40" s="609"/>
      <c r="N40" s="609"/>
      <c r="O40" s="609"/>
      <c r="P40" s="609"/>
      <c r="Q40" s="57"/>
      <c r="R40" s="146"/>
      <c r="S40" s="147"/>
      <c r="T40" s="135"/>
      <c r="U40" s="135"/>
      <c r="V40" s="135"/>
      <c r="W40" s="135"/>
    </row>
    <row r="41" spans="1:23" ht="14" thickBot="1" x14ac:dyDescent="0.2">
      <c r="A41" s="610" t="s">
        <v>445</v>
      </c>
      <c r="B41" s="59"/>
      <c r="C41" s="344"/>
      <c r="D41" s="58"/>
      <c r="E41" s="58"/>
      <c r="F41" s="58"/>
      <c r="G41" s="58"/>
      <c r="H41" s="58"/>
      <c r="I41" s="58"/>
      <c r="J41" s="58"/>
      <c r="K41" s="58"/>
      <c r="L41" s="609"/>
      <c r="M41" s="609"/>
      <c r="N41" s="609"/>
      <c r="O41" s="609"/>
      <c r="P41" s="609"/>
      <c r="Q41" s="57"/>
      <c r="R41" s="146"/>
      <c r="S41" s="147"/>
      <c r="T41" s="135"/>
      <c r="U41" s="135"/>
      <c r="V41" s="135"/>
      <c r="W41" s="135"/>
    </row>
    <row r="42" spans="1:23" ht="39" x14ac:dyDescent="0.15">
      <c r="A42" s="170" t="s">
        <v>66</v>
      </c>
      <c r="B42" s="621" t="s">
        <v>12</v>
      </c>
      <c r="C42" s="135" t="s">
        <v>355</v>
      </c>
      <c r="D42" s="61">
        <v>7.4999999999999997E-2</v>
      </c>
      <c r="E42" s="61">
        <v>7.4999999999999997E-2</v>
      </c>
      <c r="F42" s="61">
        <v>7.4999999999999997E-2</v>
      </c>
      <c r="G42" s="61">
        <v>7.4999999999999997E-2</v>
      </c>
      <c r="H42" s="61">
        <v>7.4999999999999997E-2</v>
      </c>
      <c r="I42" s="61">
        <v>7.4999999999999997E-2</v>
      </c>
      <c r="J42" s="61">
        <v>7.4999999999999997E-2</v>
      </c>
      <c r="K42" s="61">
        <v>7.4999999999999997E-2</v>
      </c>
      <c r="L42" s="61">
        <v>7.4999999999999997E-2</v>
      </c>
      <c r="M42" s="61">
        <v>7.4999999999999997E-2</v>
      </c>
      <c r="N42" s="61">
        <v>7.4999999999999997E-2</v>
      </c>
      <c r="O42" s="61">
        <v>7.4999999999999997E-2</v>
      </c>
      <c r="P42" s="61">
        <v>7.4999999999999997E-2</v>
      </c>
      <c r="Q42" s="171" t="s">
        <v>184</v>
      </c>
      <c r="R42" s="140" t="s">
        <v>101</v>
      </c>
      <c r="S42" s="172" t="s">
        <v>105</v>
      </c>
      <c r="T42" s="135"/>
      <c r="U42" s="135"/>
      <c r="V42" s="135"/>
      <c r="W42" s="135"/>
    </row>
    <row r="43" spans="1:23" ht="39" x14ac:dyDescent="0.15">
      <c r="A43" s="170" t="s">
        <v>66</v>
      </c>
      <c r="B43" s="621" t="s">
        <v>67</v>
      </c>
      <c r="C43" s="135" t="s">
        <v>356</v>
      </c>
      <c r="D43" s="61">
        <v>7.4999999999999997E-2</v>
      </c>
      <c r="E43" s="61">
        <v>7.4999999999999997E-2</v>
      </c>
      <c r="F43" s="61">
        <v>7.4999999999999997E-2</v>
      </c>
      <c r="G43" s="61">
        <v>7.4999999999999997E-2</v>
      </c>
      <c r="H43" s="61">
        <v>7.4999999999999997E-2</v>
      </c>
      <c r="I43" s="61">
        <v>7.4999999999999997E-2</v>
      </c>
      <c r="J43" s="61">
        <v>7.4999999999999997E-2</v>
      </c>
      <c r="K43" s="61">
        <v>7.4999999999999997E-2</v>
      </c>
      <c r="L43" s="61">
        <v>7.4999999999999997E-2</v>
      </c>
      <c r="M43" s="61">
        <v>7.4999999999999997E-2</v>
      </c>
      <c r="N43" s="61">
        <v>7.4999999999999997E-2</v>
      </c>
      <c r="O43" s="61">
        <v>7.4999999999999997E-2</v>
      </c>
      <c r="P43" s="61">
        <v>7.4999999999999997E-2</v>
      </c>
      <c r="Q43" s="171" t="s">
        <v>184</v>
      </c>
      <c r="R43" s="140" t="s">
        <v>101</v>
      </c>
      <c r="S43" s="172" t="s">
        <v>105</v>
      </c>
      <c r="T43" s="135"/>
      <c r="U43" s="135"/>
      <c r="V43" s="135"/>
      <c r="W43" s="135"/>
    </row>
    <row r="44" spans="1:23" ht="39" x14ac:dyDescent="0.15">
      <c r="A44" s="170" t="s">
        <v>66</v>
      </c>
      <c r="B44" s="621" t="s">
        <v>68</v>
      </c>
      <c r="C44" s="135" t="s">
        <v>357</v>
      </c>
      <c r="D44" s="61">
        <v>0.14499999999999999</v>
      </c>
      <c r="E44" s="61">
        <v>0.14499999999999999</v>
      </c>
      <c r="F44" s="61">
        <v>0.14499999999999999</v>
      </c>
      <c r="G44" s="61">
        <v>0.14499999999999999</v>
      </c>
      <c r="H44" s="61">
        <v>0.14499999999999999</v>
      </c>
      <c r="I44" s="61">
        <v>0.14499999999999999</v>
      </c>
      <c r="J44" s="61">
        <v>0.14499999999999999</v>
      </c>
      <c r="K44" s="61">
        <v>0.14499999999999999</v>
      </c>
      <c r="L44" s="61">
        <v>0.14499999999999999</v>
      </c>
      <c r="M44" s="61">
        <v>0.14499999999999999</v>
      </c>
      <c r="N44" s="61">
        <v>0.14499999999999999</v>
      </c>
      <c r="O44" s="61">
        <v>0.14499999999999999</v>
      </c>
      <c r="P44" s="61">
        <v>0.14499999999999999</v>
      </c>
      <c r="Q44" s="171" t="s">
        <v>184</v>
      </c>
      <c r="R44" s="140" t="s">
        <v>101</v>
      </c>
      <c r="S44" s="172" t="s">
        <v>105</v>
      </c>
      <c r="T44" s="135"/>
      <c r="U44" s="135"/>
      <c r="V44" s="135"/>
      <c r="W44" s="135"/>
    </row>
    <row r="45" spans="1:23" x14ac:dyDescent="0.15">
      <c r="A45" s="170" t="s">
        <v>179</v>
      </c>
      <c r="B45" s="621" t="s">
        <v>68</v>
      </c>
      <c r="C45" s="135" t="s">
        <v>358</v>
      </c>
      <c r="D45" s="61">
        <v>11.305</v>
      </c>
      <c r="E45" s="61">
        <v>11.305</v>
      </c>
      <c r="F45" s="61">
        <v>11.305</v>
      </c>
      <c r="G45" s="61">
        <v>11.305</v>
      </c>
      <c r="H45" s="61">
        <v>11.305</v>
      </c>
      <c r="I45" s="61">
        <v>11.305</v>
      </c>
      <c r="J45" s="61">
        <v>11.305</v>
      </c>
      <c r="K45" s="61">
        <v>11.305</v>
      </c>
      <c r="L45" s="61">
        <v>11.305</v>
      </c>
      <c r="M45" s="61">
        <v>11.305</v>
      </c>
      <c r="N45" s="61">
        <v>11.305</v>
      </c>
      <c r="O45" s="61">
        <v>11.305</v>
      </c>
      <c r="P45" s="61">
        <v>11.305</v>
      </c>
      <c r="Q45" s="171" t="s">
        <v>184</v>
      </c>
      <c r="R45" s="140"/>
      <c r="S45" s="172"/>
      <c r="T45" s="135"/>
      <c r="U45" s="135"/>
      <c r="V45" s="135"/>
      <c r="W45" s="135"/>
    </row>
    <row r="46" spans="1:23" x14ac:dyDescent="0.15">
      <c r="A46" s="170" t="s">
        <v>69</v>
      </c>
      <c r="B46" s="621" t="s">
        <v>70</v>
      </c>
      <c r="C46" s="135" t="s">
        <v>359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171" t="s">
        <v>184</v>
      </c>
      <c r="R46" s="140"/>
      <c r="S46" s="172"/>
      <c r="T46" s="135"/>
      <c r="U46" s="135"/>
      <c r="V46" s="135"/>
      <c r="W46" s="135"/>
    </row>
    <row r="47" spans="1:23" x14ac:dyDescent="0.15">
      <c r="A47" s="170" t="s">
        <v>71</v>
      </c>
      <c r="B47" s="621" t="s">
        <v>68</v>
      </c>
      <c r="C47" s="135" t="s">
        <v>360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171" t="s">
        <v>184</v>
      </c>
      <c r="R47" s="140"/>
      <c r="S47" s="172"/>
      <c r="T47" s="135"/>
      <c r="U47" s="135"/>
      <c r="V47" s="135"/>
      <c r="W47" s="135"/>
    </row>
    <row r="48" spans="1:23" x14ac:dyDescent="0.15">
      <c r="A48" s="170" t="s">
        <v>72</v>
      </c>
      <c r="B48" s="621" t="s">
        <v>73</v>
      </c>
      <c r="C48" s="135" t="s">
        <v>361</v>
      </c>
      <c r="D48" s="61">
        <f t="shared" ref="D48:K48" si="8">D78</f>
        <v>0</v>
      </c>
      <c r="E48" s="61">
        <f t="shared" si="8"/>
        <v>0</v>
      </c>
      <c r="F48" s="61">
        <f t="shared" si="8"/>
        <v>0</v>
      </c>
      <c r="G48" s="61">
        <f t="shared" si="8"/>
        <v>0</v>
      </c>
      <c r="H48" s="61">
        <f t="shared" si="8"/>
        <v>0</v>
      </c>
      <c r="I48" s="61">
        <f t="shared" si="8"/>
        <v>0</v>
      </c>
      <c r="J48" s="61">
        <f t="shared" si="8"/>
        <v>0</v>
      </c>
      <c r="K48" s="61">
        <f t="shared" si="8"/>
        <v>0</v>
      </c>
      <c r="L48" s="61">
        <f>L78</f>
        <v>0</v>
      </c>
      <c r="M48" s="61">
        <f>M78</f>
        <v>0</v>
      </c>
      <c r="N48" s="61">
        <f>N78</f>
        <v>0</v>
      </c>
      <c r="O48" s="61">
        <f>O78</f>
        <v>0</v>
      </c>
      <c r="P48" s="61">
        <f>P78</f>
        <v>0</v>
      </c>
      <c r="Q48" s="171" t="s">
        <v>184</v>
      </c>
      <c r="R48" s="140" t="s">
        <v>102</v>
      </c>
      <c r="S48" s="172" t="s">
        <v>106</v>
      </c>
      <c r="T48" s="135"/>
      <c r="U48" s="135"/>
      <c r="V48" s="135"/>
      <c r="W48" s="135"/>
    </row>
    <row r="49" spans="1:23" ht="39" x14ac:dyDescent="0.15">
      <c r="A49" s="170" t="s">
        <v>72</v>
      </c>
      <c r="B49" s="621" t="s">
        <v>74</v>
      </c>
      <c r="C49" s="135" t="s">
        <v>362</v>
      </c>
      <c r="D49" s="61">
        <v>7.1999999999999998E-3</v>
      </c>
      <c r="E49" s="61">
        <v>7.1999999999999998E-3</v>
      </c>
      <c r="F49" s="61">
        <v>7.1999999999999998E-3</v>
      </c>
      <c r="G49" s="61">
        <v>7.1999999999999998E-3</v>
      </c>
      <c r="H49" s="61">
        <v>7.1999999999999998E-3</v>
      </c>
      <c r="I49" s="61">
        <v>7.1999999999999998E-3</v>
      </c>
      <c r="J49" s="61">
        <v>7.1999999999999998E-3</v>
      </c>
      <c r="K49" s="61">
        <v>7.1999999999999998E-3</v>
      </c>
      <c r="L49" s="61">
        <v>7.1999999999999998E-3</v>
      </c>
      <c r="M49" s="61">
        <v>7.1999999999999998E-3</v>
      </c>
      <c r="N49" s="61">
        <v>7.1999999999999998E-3</v>
      </c>
      <c r="O49" s="61">
        <v>7.1999999999999998E-3</v>
      </c>
      <c r="P49" s="61">
        <v>7.1999999999999998E-3</v>
      </c>
      <c r="Q49" s="171" t="s">
        <v>184</v>
      </c>
      <c r="R49" s="140" t="s">
        <v>101</v>
      </c>
      <c r="S49" s="172" t="s">
        <v>105</v>
      </c>
      <c r="T49" s="135"/>
      <c r="U49" s="135"/>
      <c r="V49" s="135"/>
      <c r="W49" s="135"/>
    </row>
    <row r="50" spans="1:23" ht="39" x14ac:dyDescent="0.15">
      <c r="A50" s="170" t="s">
        <v>72</v>
      </c>
      <c r="B50" s="621" t="s">
        <v>67</v>
      </c>
      <c r="C50" s="135" t="s">
        <v>363</v>
      </c>
      <c r="D50" s="61">
        <v>2.9000000000000001E-2</v>
      </c>
      <c r="E50" s="61">
        <v>2.9000000000000001E-2</v>
      </c>
      <c r="F50" s="61">
        <v>2.9000000000000001E-2</v>
      </c>
      <c r="G50" s="61">
        <v>2.9000000000000001E-2</v>
      </c>
      <c r="H50" s="61">
        <v>2.9000000000000001E-2</v>
      </c>
      <c r="I50" s="61">
        <v>2.9000000000000001E-2</v>
      </c>
      <c r="J50" s="61">
        <v>2.9000000000000001E-2</v>
      </c>
      <c r="K50" s="61">
        <v>2.9000000000000001E-2</v>
      </c>
      <c r="L50" s="61">
        <v>2.9000000000000001E-2</v>
      </c>
      <c r="M50" s="61">
        <v>2.9000000000000001E-2</v>
      </c>
      <c r="N50" s="61">
        <v>2.9000000000000001E-2</v>
      </c>
      <c r="O50" s="61">
        <v>2.9000000000000001E-2</v>
      </c>
      <c r="P50" s="61">
        <v>2.9000000000000001E-2</v>
      </c>
      <c r="Q50" s="171" t="s">
        <v>184</v>
      </c>
      <c r="R50" s="140" t="s">
        <v>101</v>
      </c>
      <c r="S50" s="172" t="s">
        <v>105</v>
      </c>
      <c r="T50" s="135"/>
      <c r="U50" s="135"/>
      <c r="V50" s="135"/>
      <c r="W50" s="135"/>
    </row>
    <row r="51" spans="1:23" ht="39" x14ac:dyDescent="0.15">
      <c r="A51" s="170" t="s">
        <v>75</v>
      </c>
      <c r="B51" s="621" t="s">
        <v>67</v>
      </c>
      <c r="C51" s="135" t="s">
        <v>364</v>
      </c>
      <c r="D51" s="61">
        <v>7.4999999999999997E-2</v>
      </c>
      <c r="E51" s="61">
        <v>7.4999999999999997E-2</v>
      </c>
      <c r="F51" s="61">
        <v>7.4999999999999997E-2</v>
      </c>
      <c r="G51" s="61">
        <v>7.4999999999999997E-2</v>
      </c>
      <c r="H51" s="61">
        <v>7.4999999999999997E-2</v>
      </c>
      <c r="I51" s="61">
        <v>7.4999999999999997E-2</v>
      </c>
      <c r="J51" s="61">
        <v>7.4999999999999997E-2</v>
      </c>
      <c r="K51" s="61">
        <v>7.4999999999999997E-2</v>
      </c>
      <c r="L51" s="61">
        <v>7.4999999999999997E-2</v>
      </c>
      <c r="M51" s="61">
        <v>7.4999999999999997E-2</v>
      </c>
      <c r="N51" s="61">
        <v>7.4999999999999997E-2</v>
      </c>
      <c r="O51" s="61">
        <v>7.4999999999999997E-2</v>
      </c>
      <c r="P51" s="61">
        <v>7.4999999999999997E-2</v>
      </c>
      <c r="Q51" s="171" t="s">
        <v>184</v>
      </c>
      <c r="R51" s="140" t="s">
        <v>101</v>
      </c>
      <c r="S51" s="172" t="s">
        <v>105</v>
      </c>
      <c r="T51" s="135"/>
      <c r="U51" s="135"/>
      <c r="V51" s="135"/>
      <c r="W51" s="135"/>
    </row>
    <row r="52" spans="1:23" x14ac:dyDescent="0.15">
      <c r="A52" s="170" t="s">
        <v>76</v>
      </c>
      <c r="B52" s="621" t="s">
        <v>73</v>
      </c>
      <c r="C52" s="135" t="s">
        <v>275</v>
      </c>
      <c r="D52" s="61">
        <f t="shared" ref="D52:K52" si="9">D78</f>
        <v>0</v>
      </c>
      <c r="E52" s="61">
        <f t="shared" si="9"/>
        <v>0</v>
      </c>
      <c r="F52" s="61">
        <f t="shared" si="9"/>
        <v>0</v>
      </c>
      <c r="G52" s="61">
        <f t="shared" si="9"/>
        <v>0</v>
      </c>
      <c r="H52" s="61">
        <f t="shared" si="9"/>
        <v>0</v>
      </c>
      <c r="I52" s="61">
        <f t="shared" si="9"/>
        <v>0</v>
      </c>
      <c r="J52" s="61">
        <f t="shared" si="9"/>
        <v>0</v>
      </c>
      <c r="K52" s="61">
        <f t="shared" si="9"/>
        <v>0</v>
      </c>
      <c r="L52" s="61">
        <f>L78</f>
        <v>0</v>
      </c>
      <c r="M52" s="61">
        <f>M78</f>
        <v>0</v>
      </c>
      <c r="N52" s="61">
        <f>N78</f>
        <v>0</v>
      </c>
      <c r="O52" s="61">
        <f>O78</f>
        <v>0</v>
      </c>
      <c r="P52" s="61">
        <f>P78</f>
        <v>0</v>
      </c>
      <c r="Q52" s="171" t="s">
        <v>184</v>
      </c>
      <c r="R52" s="140" t="s">
        <v>102</v>
      </c>
      <c r="S52" s="172" t="s">
        <v>106</v>
      </c>
      <c r="T52" s="135"/>
      <c r="U52" s="135"/>
      <c r="V52" s="135"/>
      <c r="W52" s="135"/>
    </row>
    <row r="53" spans="1:23" ht="39" x14ac:dyDescent="0.15">
      <c r="A53" s="170" t="s">
        <v>76</v>
      </c>
      <c r="B53" s="621" t="s">
        <v>67</v>
      </c>
      <c r="C53" s="135" t="s">
        <v>399</v>
      </c>
      <c r="D53" s="61">
        <v>0.107</v>
      </c>
      <c r="E53" s="61">
        <v>0.107</v>
      </c>
      <c r="F53" s="61">
        <v>0.107</v>
      </c>
      <c r="G53" s="61">
        <v>0.107</v>
      </c>
      <c r="H53" s="61">
        <v>0.107</v>
      </c>
      <c r="I53" s="61">
        <v>0.107</v>
      </c>
      <c r="J53" s="61">
        <v>0.107</v>
      </c>
      <c r="K53" s="61">
        <v>0.107</v>
      </c>
      <c r="L53" s="61">
        <v>0.107</v>
      </c>
      <c r="M53" s="61">
        <v>0.107</v>
      </c>
      <c r="N53" s="61">
        <v>0.107</v>
      </c>
      <c r="O53" s="61">
        <v>0.107</v>
      </c>
      <c r="P53" s="61">
        <v>0.107</v>
      </c>
      <c r="Q53" s="171" t="s">
        <v>184</v>
      </c>
      <c r="R53" s="140" t="s">
        <v>101</v>
      </c>
      <c r="S53" s="172" t="s">
        <v>105</v>
      </c>
      <c r="T53" s="135"/>
      <c r="U53" s="135"/>
      <c r="V53" s="135"/>
      <c r="W53" s="135"/>
    </row>
    <row r="54" spans="1:23" ht="39" x14ac:dyDescent="0.15">
      <c r="A54" s="170" t="s">
        <v>77</v>
      </c>
      <c r="B54" s="621" t="s">
        <v>67</v>
      </c>
      <c r="C54" s="135" t="s">
        <v>365</v>
      </c>
      <c r="D54" s="61">
        <v>7.4999999999999997E-2</v>
      </c>
      <c r="E54" s="61">
        <v>7.4999999999999997E-2</v>
      </c>
      <c r="F54" s="61">
        <v>7.4999999999999997E-2</v>
      </c>
      <c r="G54" s="61">
        <v>7.4999999999999997E-2</v>
      </c>
      <c r="H54" s="61">
        <v>7.4999999999999997E-2</v>
      </c>
      <c r="I54" s="61">
        <v>7.4999999999999997E-2</v>
      </c>
      <c r="J54" s="61">
        <v>7.4999999999999997E-2</v>
      </c>
      <c r="K54" s="61">
        <v>7.4999999999999997E-2</v>
      </c>
      <c r="L54" s="61">
        <v>7.4999999999999997E-2</v>
      </c>
      <c r="M54" s="61">
        <v>7.4999999999999997E-2</v>
      </c>
      <c r="N54" s="61">
        <v>7.4999999999999997E-2</v>
      </c>
      <c r="O54" s="61">
        <v>7.4999999999999997E-2</v>
      </c>
      <c r="P54" s="61">
        <v>7.4999999999999997E-2</v>
      </c>
      <c r="Q54" s="171" t="s">
        <v>184</v>
      </c>
      <c r="R54" s="140" t="s">
        <v>101</v>
      </c>
      <c r="S54" s="172" t="s">
        <v>105</v>
      </c>
      <c r="T54" s="135"/>
      <c r="U54" s="135"/>
      <c r="V54" s="135"/>
      <c r="W54" s="135"/>
    </row>
    <row r="55" spans="1:23" x14ac:dyDescent="0.15">
      <c r="A55" s="170" t="s">
        <v>78</v>
      </c>
      <c r="B55" s="621" t="s">
        <v>79</v>
      </c>
      <c r="C55" s="135" t="s">
        <v>276</v>
      </c>
      <c r="D55" s="61">
        <v>0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1">
        <v>0</v>
      </c>
      <c r="K55" s="61">
        <v>0</v>
      </c>
      <c r="L55" s="61">
        <v>0</v>
      </c>
      <c r="M55" s="61">
        <v>0</v>
      </c>
      <c r="N55" s="61">
        <v>0</v>
      </c>
      <c r="O55" s="61">
        <v>0</v>
      </c>
      <c r="P55" s="61">
        <v>0</v>
      </c>
      <c r="Q55" s="171" t="s">
        <v>184</v>
      </c>
      <c r="R55" s="140"/>
      <c r="S55" s="172"/>
      <c r="T55" s="135"/>
      <c r="U55" s="135"/>
      <c r="V55" s="135"/>
      <c r="W55" s="135"/>
    </row>
    <row r="56" spans="1:23" ht="26" x14ac:dyDescent="0.15">
      <c r="A56" s="170" t="s">
        <v>80</v>
      </c>
      <c r="B56" s="621" t="s">
        <v>68</v>
      </c>
      <c r="C56" s="135" t="s">
        <v>277</v>
      </c>
      <c r="D56" s="61">
        <v>2.573</v>
      </c>
      <c r="E56" s="61">
        <v>2.573</v>
      </c>
      <c r="F56" s="61">
        <v>2.573</v>
      </c>
      <c r="G56" s="61">
        <v>2.573</v>
      </c>
      <c r="H56" s="61">
        <v>2.573</v>
      </c>
      <c r="I56" s="61">
        <v>2.573</v>
      </c>
      <c r="J56" s="61">
        <v>2.573</v>
      </c>
      <c r="K56" s="61">
        <v>2.573</v>
      </c>
      <c r="L56" s="61">
        <v>2.573</v>
      </c>
      <c r="M56" s="61">
        <v>2.573</v>
      </c>
      <c r="N56" s="61">
        <v>2.573</v>
      </c>
      <c r="O56" s="61">
        <v>2.573</v>
      </c>
      <c r="P56" s="61">
        <v>2.573</v>
      </c>
      <c r="Q56" s="171" t="s">
        <v>184</v>
      </c>
      <c r="R56" s="140" t="s">
        <v>103</v>
      </c>
      <c r="S56" s="172" t="s">
        <v>107</v>
      </c>
      <c r="T56" s="135"/>
      <c r="U56" s="135"/>
      <c r="V56" s="135"/>
      <c r="W56" s="135"/>
    </row>
    <row r="57" spans="1:23" ht="39" x14ac:dyDescent="0.15">
      <c r="A57" s="170" t="s">
        <v>81</v>
      </c>
      <c r="B57" s="621" t="s">
        <v>82</v>
      </c>
      <c r="C57" s="135" t="s">
        <v>366</v>
      </c>
      <c r="D57" s="61">
        <v>8.9499999999999996E-2</v>
      </c>
      <c r="E57" s="61">
        <v>8.9499999999999996E-2</v>
      </c>
      <c r="F57" s="61">
        <v>8.9499999999999996E-2</v>
      </c>
      <c r="G57" s="61">
        <v>8.9499999999999996E-2</v>
      </c>
      <c r="H57" s="61">
        <v>8.9499999999999996E-2</v>
      </c>
      <c r="I57" s="61">
        <v>8.9499999999999996E-2</v>
      </c>
      <c r="J57" s="61">
        <v>8.9499999999999996E-2</v>
      </c>
      <c r="K57" s="61">
        <v>8.9499999999999996E-2</v>
      </c>
      <c r="L57" s="61">
        <v>8.9499999999999996E-2</v>
      </c>
      <c r="M57" s="61">
        <v>8.9499999999999996E-2</v>
      </c>
      <c r="N57" s="61">
        <v>8.9499999999999996E-2</v>
      </c>
      <c r="O57" s="61">
        <v>8.9499999999999996E-2</v>
      </c>
      <c r="P57" s="61">
        <v>8.9499999999999996E-2</v>
      </c>
      <c r="Q57" s="171" t="s">
        <v>184</v>
      </c>
      <c r="R57" s="140" t="s">
        <v>101</v>
      </c>
      <c r="S57" s="172" t="s">
        <v>105</v>
      </c>
      <c r="T57" s="135"/>
      <c r="U57" s="135"/>
      <c r="V57" s="135"/>
      <c r="W57" s="135"/>
    </row>
    <row r="58" spans="1:23" x14ac:dyDescent="0.15">
      <c r="A58" s="170" t="s">
        <v>83</v>
      </c>
      <c r="B58" s="621" t="s">
        <v>68</v>
      </c>
      <c r="C58" s="135" t="s">
        <v>278</v>
      </c>
      <c r="D58" s="61">
        <v>0.2</v>
      </c>
      <c r="E58" s="61">
        <v>0.2</v>
      </c>
      <c r="F58" s="61">
        <v>0.2</v>
      </c>
      <c r="G58" s="61">
        <v>0.2</v>
      </c>
      <c r="H58" s="61">
        <v>0.2</v>
      </c>
      <c r="I58" s="61">
        <v>0.2</v>
      </c>
      <c r="J58" s="61">
        <v>0.2</v>
      </c>
      <c r="K58" s="61">
        <v>0.2</v>
      </c>
      <c r="L58" s="61">
        <v>0.2</v>
      </c>
      <c r="M58" s="61">
        <v>0.2</v>
      </c>
      <c r="N58" s="61">
        <v>0.2</v>
      </c>
      <c r="O58" s="61">
        <v>0.2</v>
      </c>
      <c r="P58" s="61">
        <v>0.2</v>
      </c>
      <c r="Q58" s="171" t="s">
        <v>184</v>
      </c>
      <c r="R58" s="140" t="s">
        <v>104</v>
      </c>
      <c r="S58" s="172" t="s">
        <v>108</v>
      </c>
      <c r="T58" s="135"/>
      <c r="U58" s="135"/>
      <c r="V58" s="135"/>
      <c r="W58" s="135"/>
    </row>
    <row r="59" spans="1:23" ht="39" x14ac:dyDescent="0.15">
      <c r="A59" s="170" t="s">
        <v>84</v>
      </c>
      <c r="B59" s="621" t="s">
        <v>68</v>
      </c>
      <c r="C59" s="135" t="s">
        <v>279</v>
      </c>
      <c r="D59" s="61">
        <v>0.32400000000000001</v>
      </c>
      <c r="E59" s="61">
        <v>0.32400000000000001</v>
      </c>
      <c r="F59" s="61">
        <v>0.32400000000000001</v>
      </c>
      <c r="G59" s="61">
        <v>0.32400000000000001</v>
      </c>
      <c r="H59" s="61">
        <v>0.32400000000000001</v>
      </c>
      <c r="I59" s="61">
        <v>0.32400000000000001</v>
      </c>
      <c r="J59" s="61">
        <v>0.32400000000000001</v>
      </c>
      <c r="K59" s="61">
        <v>0.32400000000000001</v>
      </c>
      <c r="L59" s="61">
        <v>0.32400000000000001</v>
      </c>
      <c r="M59" s="61">
        <v>0.32400000000000001</v>
      </c>
      <c r="N59" s="61">
        <v>0.32400000000000001</v>
      </c>
      <c r="O59" s="61">
        <v>0.32400000000000001</v>
      </c>
      <c r="P59" s="61">
        <v>0.32400000000000001</v>
      </c>
      <c r="Q59" s="171" t="s">
        <v>184</v>
      </c>
      <c r="R59" s="140" t="s">
        <v>101</v>
      </c>
      <c r="S59" s="172" t="s">
        <v>105</v>
      </c>
      <c r="T59" s="135"/>
      <c r="U59" s="135"/>
      <c r="V59" s="135"/>
      <c r="W59" s="135"/>
    </row>
    <row r="60" spans="1:23" ht="39" x14ac:dyDescent="0.15">
      <c r="A60" s="170" t="s">
        <v>85</v>
      </c>
      <c r="B60" s="621" t="s">
        <v>86</v>
      </c>
      <c r="C60" s="135" t="s">
        <v>367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61">
        <v>0</v>
      </c>
      <c r="N60" s="61">
        <v>0</v>
      </c>
      <c r="O60" s="61">
        <v>0</v>
      </c>
      <c r="P60" s="61">
        <v>0</v>
      </c>
      <c r="Q60" s="171" t="s">
        <v>184</v>
      </c>
      <c r="R60" s="140" t="s">
        <v>101</v>
      </c>
      <c r="S60" s="172" t="s">
        <v>105</v>
      </c>
      <c r="T60" s="135"/>
      <c r="U60" s="135"/>
      <c r="V60" s="135"/>
      <c r="W60" s="135"/>
    </row>
    <row r="61" spans="1:23" ht="39" x14ac:dyDescent="0.15">
      <c r="A61" s="170" t="s">
        <v>87</v>
      </c>
      <c r="B61" s="621" t="s">
        <v>68</v>
      </c>
      <c r="C61" s="135" t="s">
        <v>280</v>
      </c>
      <c r="D61" s="61">
        <v>0.14499999999999999</v>
      </c>
      <c r="E61" s="61">
        <v>0.14499999999999999</v>
      </c>
      <c r="F61" s="61">
        <v>0.14499999999999999</v>
      </c>
      <c r="G61" s="61">
        <v>0.14499999999999999</v>
      </c>
      <c r="H61" s="61">
        <v>0.14499999999999999</v>
      </c>
      <c r="I61" s="61">
        <v>0.14499999999999999</v>
      </c>
      <c r="J61" s="61">
        <v>0.14499999999999999</v>
      </c>
      <c r="K61" s="61">
        <v>0.14499999999999999</v>
      </c>
      <c r="L61" s="61">
        <v>0.14499999999999999</v>
      </c>
      <c r="M61" s="61">
        <v>0.14499999999999999</v>
      </c>
      <c r="N61" s="61">
        <v>0.14499999999999999</v>
      </c>
      <c r="O61" s="61">
        <v>0.14499999999999999</v>
      </c>
      <c r="P61" s="61">
        <v>0.14499999999999999</v>
      </c>
      <c r="Q61" s="171" t="s">
        <v>184</v>
      </c>
      <c r="R61" s="140" t="s">
        <v>101</v>
      </c>
      <c r="S61" s="172" t="s">
        <v>105</v>
      </c>
      <c r="T61" s="135"/>
      <c r="U61" s="135"/>
      <c r="V61" s="135"/>
      <c r="W61" s="135"/>
    </row>
    <row r="62" spans="1:23" ht="39" x14ac:dyDescent="0.15">
      <c r="A62" s="170" t="s">
        <v>88</v>
      </c>
      <c r="B62" s="621" t="s">
        <v>67</v>
      </c>
      <c r="C62" s="135" t="s">
        <v>368</v>
      </c>
      <c r="D62" s="61">
        <v>-5.3999999999999999E-2</v>
      </c>
      <c r="E62" s="61">
        <v>-5.3999999999999999E-2</v>
      </c>
      <c r="F62" s="61">
        <v>-5.3999999999999999E-2</v>
      </c>
      <c r="G62" s="61">
        <v>-5.3999999999999999E-2</v>
      </c>
      <c r="H62" s="61">
        <v>-5.3999999999999999E-2</v>
      </c>
      <c r="I62" s="61">
        <v>-5.3999999999999999E-2</v>
      </c>
      <c r="J62" s="61">
        <v>-5.3999999999999999E-2</v>
      </c>
      <c r="K62" s="61">
        <v>-5.3999999999999999E-2</v>
      </c>
      <c r="L62" s="61">
        <v>-5.3999999999999999E-2</v>
      </c>
      <c r="M62" s="61">
        <v>-5.3999999999999999E-2</v>
      </c>
      <c r="N62" s="61">
        <v>-5.3999999999999999E-2</v>
      </c>
      <c r="O62" s="61">
        <v>-5.3999999999999999E-2</v>
      </c>
      <c r="P62" s="61">
        <v>-5.3999999999999999E-2</v>
      </c>
      <c r="Q62" s="171" t="s">
        <v>184</v>
      </c>
      <c r="R62" s="140" t="s">
        <v>101</v>
      </c>
      <c r="S62" s="172" t="s">
        <v>105</v>
      </c>
      <c r="T62" s="135"/>
      <c r="U62" s="135"/>
      <c r="V62" s="135"/>
      <c r="W62" s="135"/>
    </row>
    <row r="63" spans="1:23" ht="39" x14ac:dyDescent="0.15">
      <c r="A63" s="170" t="s">
        <v>89</v>
      </c>
      <c r="B63" s="621" t="s">
        <v>68</v>
      </c>
      <c r="C63" s="135" t="s">
        <v>369</v>
      </c>
      <c r="D63" s="61">
        <v>1.593</v>
      </c>
      <c r="E63" s="61">
        <v>1.593</v>
      </c>
      <c r="F63" s="61">
        <v>1.593</v>
      </c>
      <c r="G63" s="61">
        <v>1.593</v>
      </c>
      <c r="H63" s="61">
        <v>1.593</v>
      </c>
      <c r="I63" s="61">
        <v>1.593</v>
      </c>
      <c r="J63" s="61">
        <v>1.593</v>
      </c>
      <c r="K63" s="61">
        <v>1.593</v>
      </c>
      <c r="L63" s="61">
        <v>1.593</v>
      </c>
      <c r="M63" s="61">
        <v>1.593</v>
      </c>
      <c r="N63" s="61">
        <v>1.593</v>
      </c>
      <c r="O63" s="61">
        <v>1.593</v>
      </c>
      <c r="P63" s="61">
        <v>1.593</v>
      </c>
      <c r="Q63" s="171" t="s">
        <v>184</v>
      </c>
      <c r="R63" s="140" t="s">
        <v>101</v>
      </c>
      <c r="S63" s="172" t="s">
        <v>105</v>
      </c>
      <c r="T63" s="135"/>
      <c r="U63" s="135"/>
      <c r="V63" s="135"/>
      <c r="W63" s="135"/>
    </row>
    <row r="64" spans="1:23" x14ac:dyDescent="0.15">
      <c r="A64" s="170" t="s">
        <v>185</v>
      </c>
      <c r="B64" s="621" t="s">
        <v>68</v>
      </c>
      <c r="C64" s="135" t="s">
        <v>370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1">
        <v>0</v>
      </c>
      <c r="K64" s="61">
        <v>0</v>
      </c>
      <c r="L64" s="61">
        <v>0</v>
      </c>
      <c r="M64" s="61">
        <v>0</v>
      </c>
      <c r="N64" s="61">
        <v>0</v>
      </c>
      <c r="O64" s="61">
        <v>0</v>
      </c>
      <c r="P64" s="61">
        <v>0</v>
      </c>
      <c r="Q64" s="171" t="s">
        <v>184</v>
      </c>
      <c r="R64" s="140"/>
      <c r="S64" s="172"/>
      <c r="T64" s="135"/>
      <c r="U64" s="135"/>
      <c r="V64" s="135"/>
      <c r="W64" s="135"/>
    </row>
    <row r="65" spans="1:23" x14ac:dyDescent="0.15">
      <c r="A65" s="170" t="s">
        <v>186</v>
      </c>
      <c r="B65" s="621" t="s">
        <v>68</v>
      </c>
      <c r="C65" s="135" t="s">
        <v>371</v>
      </c>
      <c r="D65" s="61">
        <v>4.2</v>
      </c>
      <c r="E65" s="61">
        <v>4.2</v>
      </c>
      <c r="F65" s="61">
        <v>4.2</v>
      </c>
      <c r="G65" s="61">
        <v>4.2</v>
      </c>
      <c r="H65" s="61">
        <v>4.2</v>
      </c>
      <c r="I65" s="61">
        <v>4.2</v>
      </c>
      <c r="J65" s="61">
        <v>4.2</v>
      </c>
      <c r="K65" s="61">
        <v>4.2</v>
      </c>
      <c r="L65" s="61">
        <v>4.2</v>
      </c>
      <c r="M65" s="61">
        <v>4.2</v>
      </c>
      <c r="N65" s="61">
        <v>4.2</v>
      </c>
      <c r="O65" s="61">
        <v>4.2</v>
      </c>
      <c r="P65" s="61">
        <v>4.2</v>
      </c>
      <c r="Q65" s="171" t="s">
        <v>184</v>
      </c>
      <c r="R65" s="140"/>
      <c r="S65" s="172"/>
      <c r="T65" s="135"/>
      <c r="U65" s="135"/>
      <c r="V65" s="135"/>
      <c r="W65" s="135"/>
    </row>
    <row r="66" spans="1:23" ht="26" x14ac:dyDescent="0.15">
      <c r="A66" s="170" t="s">
        <v>90</v>
      </c>
      <c r="B66" s="621" t="s">
        <v>68</v>
      </c>
      <c r="C66" s="135" t="s">
        <v>372</v>
      </c>
      <c r="D66" s="61">
        <v>2.573</v>
      </c>
      <c r="E66" s="61">
        <v>2.573</v>
      </c>
      <c r="F66" s="61">
        <v>2.573</v>
      </c>
      <c r="G66" s="61">
        <v>2.573</v>
      </c>
      <c r="H66" s="61">
        <v>2.573</v>
      </c>
      <c r="I66" s="61">
        <v>2.573</v>
      </c>
      <c r="J66" s="61">
        <v>2.573</v>
      </c>
      <c r="K66" s="61">
        <v>2.573</v>
      </c>
      <c r="L66" s="61">
        <v>2.573</v>
      </c>
      <c r="M66" s="61">
        <v>2.573</v>
      </c>
      <c r="N66" s="61">
        <v>2.573</v>
      </c>
      <c r="O66" s="61">
        <v>2.573</v>
      </c>
      <c r="P66" s="61">
        <v>2.573</v>
      </c>
      <c r="Q66" s="171" t="s">
        <v>184</v>
      </c>
      <c r="R66" s="140" t="s">
        <v>103</v>
      </c>
      <c r="S66" s="172" t="s">
        <v>107</v>
      </c>
      <c r="T66" s="135"/>
      <c r="U66" s="135"/>
      <c r="V66" s="135"/>
      <c r="W66" s="135"/>
    </row>
    <row r="67" spans="1:23" ht="39" x14ac:dyDescent="0.15">
      <c r="A67" s="170" t="s">
        <v>91</v>
      </c>
      <c r="B67" s="621" t="s">
        <v>68</v>
      </c>
      <c r="C67" s="135" t="s">
        <v>373</v>
      </c>
      <c r="D67" s="61">
        <v>6.952</v>
      </c>
      <c r="E67" s="61">
        <v>6.952</v>
      </c>
      <c r="F67" s="61">
        <v>6.952</v>
      </c>
      <c r="G67" s="61">
        <v>6.952</v>
      </c>
      <c r="H67" s="61">
        <v>6.952</v>
      </c>
      <c r="I67" s="61">
        <v>6.952</v>
      </c>
      <c r="J67" s="61">
        <v>6.952</v>
      </c>
      <c r="K67" s="61">
        <v>6.952</v>
      </c>
      <c r="L67" s="61">
        <v>6.952</v>
      </c>
      <c r="M67" s="61">
        <v>6.952</v>
      </c>
      <c r="N67" s="61">
        <v>6.952</v>
      </c>
      <c r="O67" s="61">
        <v>6.952</v>
      </c>
      <c r="P67" s="61">
        <v>6.952</v>
      </c>
      <c r="Q67" s="171" t="s">
        <v>184</v>
      </c>
      <c r="R67" s="140" t="s">
        <v>101</v>
      </c>
      <c r="S67" s="172" t="s">
        <v>105</v>
      </c>
      <c r="T67" s="135"/>
      <c r="U67" s="135"/>
      <c r="V67" s="135"/>
      <c r="W67" s="135"/>
    </row>
    <row r="68" spans="1:23" ht="39" x14ac:dyDescent="0.15">
      <c r="A68" s="170" t="s">
        <v>92</v>
      </c>
      <c r="B68" s="621" t="s">
        <v>82</v>
      </c>
      <c r="C68" s="135" t="s">
        <v>374</v>
      </c>
      <c r="D68" s="61">
        <v>8.9499999999999996E-2</v>
      </c>
      <c r="E68" s="61">
        <v>8.9499999999999996E-2</v>
      </c>
      <c r="F68" s="61">
        <v>8.9499999999999996E-2</v>
      </c>
      <c r="G68" s="61">
        <v>8.9499999999999996E-2</v>
      </c>
      <c r="H68" s="61">
        <v>8.9499999999999996E-2</v>
      </c>
      <c r="I68" s="61">
        <v>8.9499999999999996E-2</v>
      </c>
      <c r="J68" s="61">
        <v>8.9499999999999996E-2</v>
      </c>
      <c r="K68" s="61">
        <v>8.9499999999999996E-2</v>
      </c>
      <c r="L68" s="61">
        <v>8.9499999999999996E-2</v>
      </c>
      <c r="M68" s="61">
        <v>8.9499999999999996E-2</v>
      </c>
      <c r="N68" s="61">
        <v>8.9499999999999996E-2</v>
      </c>
      <c r="O68" s="61">
        <v>8.9499999999999996E-2</v>
      </c>
      <c r="P68" s="61">
        <v>8.9499999999999996E-2</v>
      </c>
      <c r="Q68" s="171" t="s">
        <v>184</v>
      </c>
      <c r="R68" s="140" t="s">
        <v>101</v>
      </c>
      <c r="S68" s="172" t="s">
        <v>105</v>
      </c>
      <c r="T68" s="135"/>
      <c r="U68" s="135"/>
      <c r="V68" s="135"/>
      <c r="W68" s="135"/>
    </row>
    <row r="69" spans="1:23" ht="39" x14ac:dyDescent="0.15">
      <c r="A69" s="170" t="s">
        <v>92</v>
      </c>
      <c r="B69" s="621" t="s">
        <v>93</v>
      </c>
      <c r="C69" s="135" t="s">
        <v>375</v>
      </c>
      <c r="D69" s="61">
        <v>0.13250000000000001</v>
      </c>
      <c r="E69" s="61">
        <v>0.13250000000000001</v>
      </c>
      <c r="F69" s="61">
        <v>0.13250000000000001</v>
      </c>
      <c r="G69" s="61">
        <v>0.13250000000000001</v>
      </c>
      <c r="H69" s="61">
        <v>0.13250000000000001</v>
      </c>
      <c r="I69" s="61">
        <v>0.13250000000000001</v>
      </c>
      <c r="J69" s="61">
        <v>0.13250000000000001</v>
      </c>
      <c r="K69" s="61">
        <v>0.13250000000000001</v>
      </c>
      <c r="L69" s="61">
        <v>0.13250000000000001</v>
      </c>
      <c r="M69" s="61">
        <v>0.13250000000000001</v>
      </c>
      <c r="N69" s="61">
        <v>0.13250000000000001</v>
      </c>
      <c r="O69" s="61">
        <v>0.13250000000000001</v>
      </c>
      <c r="P69" s="61">
        <v>0.13250000000000001</v>
      </c>
      <c r="Q69" s="171" t="s">
        <v>184</v>
      </c>
      <c r="R69" s="140" t="s">
        <v>101</v>
      </c>
      <c r="S69" s="172" t="s">
        <v>105</v>
      </c>
      <c r="T69" s="135"/>
      <c r="U69" s="135"/>
      <c r="V69" s="135"/>
      <c r="W69" s="135"/>
    </row>
    <row r="70" spans="1:23" ht="39" x14ac:dyDescent="0.15">
      <c r="A70" s="170" t="s">
        <v>94</v>
      </c>
      <c r="B70" s="621" t="s">
        <v>68</v>
      </c>
      <c r="C70" s="135" t="s">
        <v>281</v>
      </c>
      <c r="D70" s="61">
        <v>0.67600000000000005</v>
      </c>
      <c r="E70" s="61">
        <v>0.67600000000000005</v>
      </c>
      <c r="F70" s="61">
        <v>0.67600000000000005</v>
      </c>
      <c r="G70" s="61">
        <v>0.67600000000000005</v>
      </c>
      <c r="H70" s="61">
        <v>0.67600000000000005</v>
      </c>
      <c r="I70" s="61">
        <v>0.67600000000000005</v>
      </c>
      <c r="J70" s="61">
        <v>0.67600000000000005</v>
      </c>
      <c r="K70" s="61">
        <v>0.67600000000000005</v>
      </c>
      <c r="L70" s="61">
        <v>0.67600000000000005</v>
      </c>
      <c r="M70" s="61">
        <v>0.67600000000000005</v>
      </c>
      <c r="N70" s="61">
        <v>0.67600000000000005</v>
      </c>
      <c r="O70" s="61">
        <v>0.67600000000000005</v>
      </c>
      <c r="P70" s="61">
        <v>0.67600000000000005</v>
      </c>
      <c r="Q70" s="171" t="s">
        <v>184</v>
      </c>
      <c r="R70" s="140" t="s">
        <v>101</v>
      </c>
      <c r="S70" s="172" t="s">
        <v>105</v>
      </c>
      <c r="T70" s="135"/>
      <c r="U70" s="135"/>
      <c r="V70" s="135"/>
      <c r="W70" s="135"/>
    </row>
    <row r="71" spans="1:23" ht="39" x14ac:dyDescent="0.15">
      <c r="A71" s="170" t="s">
        <v>95</v>
      </c>
      <c r="B71" s="621" t="s">
        <v>74</v>
      </c>
      <c r="C71" s="135" t="s">
        <v>282</v>
      </c>
      <c r="D71" s="61">
        <v>7.1999999999999998E-3</v>
      </c>
      <c r="E71" s="61">
        <v>7.1999999999999998E-3</v>
      </c>
      <c r="F71" s="61">
        <v>7.1999999999999998E-3</v>
      </c>
      <c r="G71" s="61">
        <v>7.1999999999999998E-3</v>
      </c>
      <c r="H71" s="61">
        <v>7.1999999999999998E-3</v>
      </c>
      <c r="I71" s="61">
        <v>7.1999999999999998E-3</v>
      </c>
      <c r="J71" s="61">
        <v>7.1999999999999998E-3</v>
      </c>
      <c r="K71" s="61">
        <v>7.1999999999999998E-3</v>
      </c>
      <c r="L71" s="61">
        <v>7.1999999999999998E-3</v>
      </c>
      <c r="M71" s="61">
        <v>7.1999999999999998E-3</v>
      </c>
      <c r="N71" s="61">
        <v>7.1999999999999998E-3</v>
      </c>
      <c r="O71" s="61">
        <v>7.1999999999999998E-3</v>
      </c>
      <c r="P71" s="61">
        <v>7.1999999999999998E-3</v>
      </c>
      <c r="Q71" s="171" t="s">
        <v>184</v>
      </c>
      <c r="R71" s="140" t="s">
        <v>101</v>
      </c>
      <c r="S71" s="172" t="s">
        <v>105</v>
      </c>
      <c r="T71" s="135"/>
      <c r="U71" s="135"/>
      <c r="V71" s="135"/>
      <c r="W71" s="135"/>
    </row>
    <row r="72" spans="1:23" x14ac:dyDescent="0.15">
      <c r="A72" s="170" t="s">
        <v>187</v>
      </c>
      <c r="B72" s="621" t="s">
        <v>68</v>
      </c>
      <c r="C72" s="135" t="s">
        <v>376</v>
      </c>
      <c r="D72" s="61">
        <v>1.408741</v>
      </c>
      <c r="E72" s="61">
        <v>1.408741</v>
      </c>
      <c r="F72" s="61">
        <v>1.408741</v>
      </c>
      <c r="G72" s="61">
        <v>1.408741</v>
      </c>
      <c r="H72" s="61">
        <v>1.408741</v>
      </c>
      <c r="I72" s="61">
        <v>1.408741</v>
      </c>
      <c r="J72" s="61">
        <v>1.408741</v>
      </c>
      <c r="K72" s="61">
        <v>1.408741</v>
      </c>
      <c r="L72" s="61">
        <v>1.408741</v>
      </c>
      <c r="M72" s="61">
        <v>1.408741</v>
      </c>
      <c r="N72" s="61">
        <v>1.408741</v>
      </c>
      <c r="O72" s="61">
        <v>1.408741</v>
      </c>
      <c r="P72" s="61">
        <v>1.408741</v>
      </c>
      <c r="Q72" s="171" t="s">
        <v>184</v>
      </c>
      <c r="R72" s="140"/>
      <c r="S72" s="172"/>
      <c r="T72" s="135"/>
      <c r="U72" s="135"/>
      <c r="V72" s="135"/>
      <c r="W72" s="135"/>
    </row>
    <row r="73" spans="1:23" x14ac:dyDescent="0.15">
      <c r="A73" s="170" t="s">
        <v>96</v>
      </c>
      <c r="B73" s="621" t="s">
        <v>68</v>
      </c>
      <c r="C73" s="135" t="s">
        <v>377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171" t="s">
        <v>184</v>
      </c>
      <c r="R73" s="140"/>
      <c r="S73" s="172"/>
      <c r="T73" s="135"/>
      <c r="U73" s="135"/>
      <c r="V73" s="135"/>
      <c r="W73" s="135"/>
    </row>
    <row r="74" spans="1:23" ht="39" x14ac:dyDescent="0.15">
      <c r="A74" s="170" t="s">
        <v>97</v>
      </c>
      <c r="B74" s="621" t="s">
        <v>93</v>
      </c>
      <c r="C74" s="135" t="s">
        <v>378</v>
      </c>
      <c r="D74" s="61">
        <v>0.125</v>
      </c>
      <c r="E74" s="61">
        <v>0.125</v>
      </c>
      <c r="F74" s="61">
        <v>0.125</v>
      </c>
      <c r="G74" s="61">
        <v>0.125</v>
      </c>
      <c r="H74" s="61">
        <v>0.125</v>
      </c>
      <c r="I74" s="61">
        <v>0.125</v>
      </c>
      <c r="J74" s="61">
        <v>0.125</v>
      </c>
      <c r="K74" s="61">
        <v>0.125</v>
      </c>
      <c r="L74" s="61">
        <v>0.125</v>
      </c>
      <c r="M74" s="61">
        <v>0.125</v>
      </c>
      <c r="N74" s="61">
        <v>0.125</v>
      </c>
      <c r="O74" s="61">
        <v>0.125</v>
      </c>
      <c r="P74" s="61">
        <v>0.125</v>
      </c>
      <c r="Q74" s="171" t="s">
        <v>184</v>
      </c>
      <c r="R74" s="140" t="s">
        <v>101</v>
      </c>
      <c r="S74" s="172" t="s">
        <v>105</v>
      </c>
      <c r="T74" s="135"/>
      <c r="U74" s="135"/>
      <c r="V74" s="135"/>
      <c r="W74" s="135"/>
    </row>
    <row r="75" spans="1:23" ht="39" x14ac:dyDescent="0.15">
      <c r="A75" s="170" t="s">
        <v>98</v>
      </c>
      <c r="B75" s="621" t="s">
        <v>68</v>
      </c>
      <c r="C75" s="135" t="s">
        <v>379</v>
      </c>
      <c r="D75" s="61">
        <v>3.4319999999999999</v>
      </c>
      <c r="E75" s="61">
        <v>3.4319999999999999</v>
      </c>
      <c r="F75" s="61">
        <v>3.4319999999999999</v>
      </c>
      <c r="G75" s="61">
        <v>3.4319999999999999</v>
      </c>
      <c r="H75" s="61">
        <v>3.4319999999999999</v>
      </c>
      <c r="I75" s="61">
        <v>3.4319999999999999</v>
      </c>
      <c r="J75" s="61">
        <v>3.4319999999999999</v>
      </c>
      <c r="K75" s="61">
        <v>3.4319999999999999</v>
      </c>
      <c r="L75" s="61">
        <v>3.4319999999999999</v>
      </c>
      <c r="M75" s="61">
        <v>3.4319999999999999</v>
      </c>
      <c r="N75" s="61">
        <v>3.4319999999999999</v>
      </c>
      <c r="O75" s="61">
        <v>3.4319999999999999</v>
      </c>
      <c r="P75" s="61">
        <v>3.4319999999999999</v>
      </c>
      <c r="Q75" s="171" t="s">
        <v>184</v>
      </c>
      <c r="R75" s="140" t="s">
        <v>101</v>
      </c>
      <c r="S75" s="172" t="s">
        <v>105</v>
      </c>
      <c r="T75" s="135"/>
      <c r="U75" s="135"/>
      <c r="V75" s="135"/>
      <c r="W75" s="135"/>
    </row>
    <row r="76" spans="1:23" ht="14" thickBot="1" x14ac:dyDescent="0.2">
      <c r="A76" s="173" t="s">
        <v>99</v>
      </c>
      <c r="B76" s="174" t="s">
        <v>100</v>
      </c>
      <c r="C76" s="346" t="s">
        <v>380</v>
      </c>
      <c r="D76" s="62">
        <v>0</v>
      </c>
      <c r="E76" s="62">
        <v>0</v>
      </c>
      <c r="F76" s="62">
        <v>0</v>
      </c>
      <c r="G76" s="62">
        <v>0</v>
      </c>
      <c r="H76" s="62">
        <v>0</v>
      </c>
      <c r="I76" s="62">
        <v>0</v>
      </c>
      <c r="J76" s="62">
        <v>0</v>
      </c>
      <c r="K76" s="62">
        <v>0</v>
      </c>
      <c r="L76" s="62">
        <v>0</v>
      </c>
      <c r="M76" s="62">
        <v>0</v>
      </c>
      <c r="N76" s="62">
        <v>0</v>
      </c>
      <c r="O76" s="62">
        <v>0</v>
      </c>
      <c r="P76" s="62">
        <v>0</v>
      </c>
      <c r="Q76" s="171" t="s">
        <v>184</v>
      </c>
      <c r="R76" s="157"/>
      <c r="S76" s="176"/>
      <c r="T76" s="135"/>
      <c r="U76" s="135"/>
      <c r="V76" s="135"/>
      <c r="W76" s="135"/>
    </row>
    <row r="77" spans="1:23" x14ac:dyDescent="0.15">
      <c r="A77" s="636" t="s">
        <v>113</v>
      </c>
      <c r="B77" s="637"/>
      <c r="C77" s="135"/>
      <c r="D77" s="345"/>
      <c r="E77" s="34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162"/>
      <c r="R77" s="163"/>
      <c r="S77" s="177"/>
      <c r="T77" s="135"/>
      <c r="U77" s="135"/>
      <c r="V77" s="135"/>
      <c r="W77" s="135"/>
    </row>
    <row r="78" spans="1:23" x14ac:dyDescent="0.15">
      <c r="A78" s="638" t="s">
        <v>31</v>
      </c>
      <c r="B78" s="639">
        <f>SUM(B79:B84)</f>
        <v>1</v>
      </c>
      <c r="C78" s="347"/>
      <c r="D78" s="56">
        <f t="shared" ref="D78:P78" si="10">$B$148*D79+$B$149*D80+$B$150*D81+$B$151*D82+$B$152*D83+$B$153*D84</f>
        <v>0</v>
      </c>
      <c r="E78" s="56">
        <f t="shared" si="10"/>
        <v>0</v>
      </c>
      <c r="F78" s="56">
        <f t="shared" si="10"/>
        <v>0</v>
      </c>
      <c r="G78" s="56">
        <f t="shared" si="10"/>
        <v>0</v>
      </c>
      <c r="H78" s="56">
        <f t="shared" si="10"/>
        <v>0</v>
      </c>
      <c r="I78" s="56">
        <f t="shared" si="10"/>
        <v>0</v>
      </c>
      <c r="J78" s="56">
        <f t="shared" si="10"/>
        <v>0</v>
      </c>
      <c r="K78" s="56">
        <f t="shared" si="10"/>
        <v>0</v>
      </c>
      <c r="L78" s="56">
        <f t="shared" si="10"/>
        <v>0</v>
      </c>
      <c r="M78" s="56">
        <f t="shared" si="10"/>
        <v>0</v>
      </c>
      <c r="N78" s="56">
        <f t="shared" si="10"/>
        <v>0</v>
      </c>
      <c r="O78" s="56">
        <f t="shared" si="10"/>
        <v>0</v>
      </c>
      <c r="P78" s="56">
        <f t="shared" si="10"/>
        <v>0</v>
      </c>
      <c r="Q78" s="178" t="s">
        <v>184</v>
      </c>
      <c r="R78" s="179"/>
      <c r="S78" s="180"/>
      <c r="T78" s="135"/>
      <c r="U78" s="135"/>
      <c r="V78" s="135"/>
      <c r="W78" s="135"/>
    </row>
    <row r="79" spans="1:23" ht="39" x14ac:dyDescent="0.15">
      <c r="A79" s="181" t="s">
        <v>95</v>
      </c>
      <c r="B79" s="606">
        <v>0.14000000000000001</v>
      </c>
      <c r="C79" s="135"/>
      <c r="D79" s="61">
        <v>7.1999999999999998E-3</v>
      </c>
      <c r="E79" s="61">
        <v>7.1999999999999998E-3</v>
      </c>
      <c r="F79" s="61">
        <v>7.1999999999999998E-3</v>
      </c>
      <c r="G79" s="61">
        <v>7.1999999999999998E-3</v>
      </c>
      <c r="H79" s="61">
        <v>7.1999999999999998E-3</v>
      </c>
      <c r="I79" s="61">
        <v>7.1999999999999998E-3</v>
      </c>
      <c r="J79" s="61">
        <v>7.1999999999999998E-3</v>
      </c>
      <c r="K79" s="61">
        <v>7.1999999999999998E-3</v>
      </c>
      <c r="L79" s="61">
        <v>7.1999999999999998E-3</v>
      </c>
      <c r="M79" s="61">
        <v>7.1999999999999998E-3</v>
      </c>
      <c r="N79" s="61">
        <v>7.1999999999999998E-3</v>
      </c>
      <c r="O79" s="61">
        <v>7.1999999999999998E-3</v>
      </c>
      <c r="P79" s="61">
        <v>7.1999999999999998E-3</v>
      </c>
      <c r="Q79" s="171" t="s">
        <v>184</v>
      </c>
      <c r="R79" s="140" t="s">
        <v>101</v>
      </c>
      <c r="S79" s="172" t="s">
        <v>105</v>
      </c>
      <c r="T79" s="135"/>
      <c r="U79" s="135"/>
      <c r="V79" s="135"/>
      <c r="W79" s="135"/>
    </row>
    <row r="80" spans="1:23" ht="39" x14ac:dyDescent="0.15">
      <c r="A80" s="181" t="s">
        <v>87</v>
      </c>
      <c r="B80" s="606">
        <v>0.17</v>
      </c>
      <c r="C80" s="135"/>
      <c r="D80" s="61">
        <v>7.4999999999999997E-2</v>
      </c>
      <c r="E80" s="61">
        <v>7.4999999999999997E-2</v>
      </c>
      <c r="F80" s="61">
        <v>7.4999999999999997E-2</v>
      </c>
      <c r="G80" s="61">
        <v>7.4999999999999997E-2</v>
      </c>
      <c r="H80" s="61">
        <v>7.4999999999999997E-2</v>
      </c>
      <c r="I80" s="61">
        <v>7.4999999999999997E-2</v>
      </c>
      <c r="J80" s="61">
        <v>7.4999999999999997E-2</v>
      </c>
      <c r="K80" s="61">
        <v>7.4999999999999997E-2</v>
      </c>
      <c r="L80" s="61">
        <v>7.4999999999999997E-2</v>
      </c>
      <c r="M80" s="61">
        <v>7.4999999999999997E-2</v>
      </c>
      <c r="N80" s="61">
        <v>7.4999999999999997E-2</v>
      </c>
      <c r="O80" s="61">
        <v>7.4999999999999997E-2</v>
      </c>
      <c r="P80" s="61">
        <v>7.4999999999999997E-2</v>
      </c>
      <c r="Q80" s="171" t="s">
        <v>184</v>
      </c>
      <c r="R80" s="140" t="s">
        <v>101</v>
      </c>
      <c r="S80" s="172" t="s">
        <v>105</v>
      </c>
      <c r="T80" s="135"/>
      <c r="U80" s="135"/>
      <c r="V80" s="135"/>
      <c r="W80" s="135"/>
    </row>
    <row r="81" spans="1:23" x14ac:dyDescent="0.15">
      <c r="A81" s="181" t="s">
        <v>109</v>
      </c>
      <c r="B81" s="606">
        <v>7.0000000000000007E-2</v>
      </c>
      <c r="C81" s="135"/>
      <c r="D81" s="61">
        <v>0</v>
      </c>
      <c r="E81" s="61">
        <v>0</v>
      </c>
      <c r="F81" s="61">
        <v>0</v>
      </c>
      <c r="G81" s="61">
        <v>0</v>
      </c>
      <c r="H81" s="61">
        <v>0</v>
      </c>
      <c r="I81" s="61">
        <v>0</v>
      </c>
      <c r="J81" s="61">
        <v>0</v>
      </c>
      <c r="K81" s="61">
        <v>0</v>
      </c>
      <c r="L81" s="61">
        <v>0</v>
      </c>
      <c r="M81" s="61">
        <v>0</v>
      </c>
      <c r="N81" s="61">
        <v>0</v>
      </c>
      <c r="O81" s="61">
        <v>0</v>
      </c>
      <c r="P81" s="61">
        <v>0</v>
      </c>
      <c r="Q81" s="171" t="s">
        <v>184</v>
      </c>
      <c r="R81" s="140"/>
      <c r="S81" s="172"/>
      <c r="T81" s="135"/>
      <c r="U81" s="135"/>
      <c r="V81" s="135"/>
      <c r="W81" s="135"/>
    </row>
    <row r="82" spans="1:23" ht="39" x14ac:dyDescent="0.15">
      <c r="A82" s="181" t="s">
        <v>110</v>
      </c>
      <c r="B82" s="606">
        <v>1.9E-2</v>
      </c>
      <c r="C82" s="135"/>
      <c r="D82" s="61">
        <v>1.593</v>
      </c>
      <c r="E82" s="61">
        <v>1.593</v>
      </c>
      <c r="F82" s="61">
        <v>1.593</v>
      </c>
      <c r="G82" s="61">
        <v>1.593</v>
      </c>
      <c r="H82" s="61">
        <v>1.593</v>
      </c>
      <c r="I82" s="61">
        <v>1.593</v>
      </c>
      <c r="J82" s="61">
        <v>1.593</v>
      </c>
      <c r="K82" s="61">
        <v>1.593</v>
      </c>
      <c r="L82" s="61">
        <v>1.593</v>
      </c>
      <c r="M82" s="61">
        <v>1.593</v>
      </c>
      <c r="N82" s="61">
        <v>1.593</v>
      </c>
      <c r="O82" s="61">
        <v>1.593</v>
      </c>
      <c r="P82" s="61">
        <v>1.593</v>
      </c>
      <c r="Q82" s="171" t="s">
        <v>184</v>
      </c>
      <c r="R82" s="140" t="s">
        <v>101</v>
      </c>
      <c r="S82" s="172" t="s">
        <v>105</v>
      </c>
      <c r="T82" s="135"/>
      <c r="U82" s="135"/>
      <c r="V82" s="135"/>
      <c r="W82" s="135"/>
    </row>
    <row r="83" spans="1:23" ht="39" x14ac:dyDescent="0.15">
      <c r="A83" s="181" t="s">
        <v>111</v>
      </c>
      <c r="B83" s="606">
        <v>1E-3</v>
      </c>
      <c r="C83" s="135"/>
      <c r="D83" s="61">
        <v>6.952</v>
      </c>
      <c r="E83" s="61">
        <v>6.952</v>
      </c>
      <c r="F83" s="61">
        <v>6.952</v>
      </c>
      <c r="G83" s="61">
        <v>6.952</v>
      </c>
      <c r="H83" s="61">
        <v>6.952</v>
      </c>
      <c r="I83" s="61">
        <v>6.952</v>
      </c>
      <c r="J83" s="61">
        <v>6.952</v>
      </c>
      <c r="K83" s="61">
        <v>6.952</v>
      </c>
      <c r="L83" s="61">
        <v>6.952</v>
      </c>
      <c r="M83" s="61">
        <v>6.952</v>
      </c>
      <c r="N83" s="61">
        <v>6.952</v>
      </c>
      <c r="O83" s="61">
        <v>6.952</v>
      </c>
      <c r="P83" s="61">
        <v>6.952</v>
      </c>
      <c r="Q83" s="171" t="s">
        <v>184</v>
      </c>
      <c r="R83" s="140" t="s">
        <v>101</v>
      </c>
      <c r="S83" s="172" t="s">
        <v>105</v>
      </c>
      <c r="T83" s="135"/>
      <c r="U83" s="135"/>
      <c r="V83" s="135"/>
      <c r="W83" s="135"/>
    </row>
    <row r="84" spans="1:23" ht="14" thickBot="1" x14ac:dyDescent="0.2">
      <c r="A84" s="182" t="s">
        <v>112</v>
      </c>
      <c r="B84" s="635">
        <v>0.6</v>
      </c>
      <c r="C84" s="346"/>
      <c r="D84" s="62">
        <v>0.49780999999999997</v>
      </c>
      <c r="E84" s="62">
        <v>0.49780999999999997</v>
      </c>
      <c r="F84" s="62">
        <v>0.49780999999999997</v>
      </c>
      <c r="G84" s="62">
        <v>0.49780999999999997</v>
      </c>
      <c r="H84" s="62">
        <v>0.49780999999999997</v>
      </c>
      <c r="I84" s="62">
        <v>0.49780999999999997</v>
      </c>
      <c r="J84" s="62">
        <v>0.49780999999999997</v>
      </c>
      <c r="K84" s="62">
        <v>0.49780999999999997</v>
      </c>
      <c r="L84" s="62">
        <v>0.49780999999999997</v>
      </c>
      <c r="M84" s="62">
        <v>0.49780999999999997</v>
      </c>
      <c r="N84" s="62">
        <v>0.49780999999999997</v>
      </c>
      <c r="O84" s="62">
        <v>0.49780999999999997</v>
      </c>
      <c r="P84" s="62">
        <v>0.49780999999999997</v>
      </c>
      <c r="Q84" s="175" t="s">
        <v>184</v>
      </c>
      <c r="R84" s="157" t="s">
        <v>102</v>
      </c>
      <c r="S84" s="176" t="s">
        <v>106</v>
      </c>
      <c r="T84" s="135"/>
      <c r="U84" s="135"/>
      <c r="V84" s="135"/>
      <c r="W84" s="135"/>
    </row>
    <row r="85" spans="1:23" x14ac:dyDescent="0.15">
      <c r="A85" s="608" t="s">
        <v>9</v>
      </c>
      <c r="B85" s="606"/>
      <c r="C85" s="135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171"/>
      <c r="R85" s="140"/>
      <c r="S85" s="172"/>
      <c r="T85" s="135"/>
      <c r="U85" s="135"/>
      <c r="V85" s="135"/>
      <c r="W85" s="135"/>
    </row>
    <row r="86" spans="1:23" x14ac:dyDescent="0.15">
      <c r="A86" s="166" t="s">
        <v>5</v>
      </c>
      <c r="B86" s="138"/>
      <c r="C86" s="135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1"/>
      <c r="R86" s="140"/>
      <c r="S86" s="152"/>
      <c r="T86" s="135"/>
      <c r="U86" s="135"/>
      <c r="V86" s="135"/>
      <c r="W86" s="135"/>
    </row>
    <row r="87" spans="1:23" x14ac:dyDescent="0.15">
      <c r="A87" s="153" t="s">
        <v>56</v>
      </c>
      <c r="B87" s="138" t="s">
        <v>47</v>
      </c>
      <c r="C87" s="135" t="s">
        <v>340</v>
      </c>
      <c r="D87" s="150">
        <f>0.22/1000</f>
        <v>2.2000000000000001E-4</v>
      </c>
      <c r="E87" s="150">
        <f t="shared" ref="E87:J87" si="11">0.22/1000</f>
        <v>2.2000000000000001E-4</v>
      </c>
      <c r="F87" s="150">
        <f t="shared" si="11"/>
        <v>2.2000000000000001E-4</v>
      </c>
      <c r="G87" s="150">
        <f t="shared" si="11"/>
        <v>2.2000000000000001E-4</v>
      </c>
      <c r="H87" s="150">
        <f t="shared" si="11"/>
        <v>2.2000000000000001E-4</v>
      </c>
      <c r="I87" s="150">
        <f t="shared" si="11"/>
        <v>2.2000000000000001E-4</v>
      </c>
      <c r="J87" s="150">
        <f t="shared" si="11"/>
        <v>2.2000000000000001E-4</v>
      </c>
      <c r="K87" s="150">
        <f t="shared" ref="K87" si="12">0.195/1000</f>
        <v>1.95E-4</v>
      </c>
      <c r="L87" s="150">
        <f>0.195/1000</f>
        <v>1.95E-4</v>
      </c>
      <c r="M87" s="150">
        <f>0.193/1000</f>
        <v>1.93E-4</v>
      </c>
      <c r="N87" s="150">
        <v>1.93E-4</v>
      </c>
      <c r="O87" s="476">
        <v>1.93E-4</v>
      </c>
      <c r="P87" s="476">
        <v>1.9100000000000001E-4</v>
      </c>
      <c r="Q87" s="151" t="s">
        <v>183</v>
      </c>
      <c r="R87" s="140" t="s">
        <v>36</v>
      </c>
      <c r="S87" s="152"/>
      <c r="T87" s="135"/>
      <c r="U87" s="135"/>
      <c r="V87" s="135"/>
      <c r="W87" s="135"/>
    </row>
    <row r="88" spans="1:23" x14ac:dyDescent="0.15">
      <c r="A88" s="153"/>
      <c r="B88" s="138" t="s">
        <v>15</v>
      </c>
      <c r="C88" s="135" t="s">
        <v>341</v>
      </c>
      <c r="D88" s="150">
        <v>2.7409999999999999E-3</v>
      </c>
      <c r="E88" s="150">
        <v>2.7399999999999998E-3</v>
      </c>
      <c r="F88" s="150">
        <v>2.7399999999999998E-3</v>
      </c>
      <c r="G88" s="150">
        <v>2.7409999999999999E-3</v>
      </c>
      <c r="H88" s="150">
        <v>2.7399999999999998E-3</v>
      </c>
      <c r="I88" s="150">
        <v>2.7399999999999998E-3</v>
      </c>
      <c r="J88" s="150">
        <v>2.7399999999999998E-3</v>
      </c>
      <c r="K88" s="150">
        <v>2.7399999999999998E-3</v>
      </c>
      <c r="L88" s="150">
        <f>2.784/1000</f>
        <v>2.784E-3</v>
      </c>
      <c r="M88" s="150">
        <f t="shared" ref="M88" si="13">2.784/1000</f>
        <v>2.784E-3</v>
      </c>
      <c r="N88" s="150">
        <v>2.784E-3</v>
      </c>
      <c r="O88" s="476">
        <v>2.8210000000000002E-3</v>
      </c>
      <c r="P88" s="476">
        <f>P7</f>
        <v>2.797E-3</v>
      </c>
      <c r="Q88" s="151" t="s">
        <v>181</v>
      </c>
      <c r="R88" s="140" t="s">
        <v>36</v>
      </c>
      <c r="S88" s="152" t="s">
        <v>61</v>
      </c>
      <c r="T88" s="135"/>
      <c r="U88" s="135"/>
      <c r="V88" s="135"/>
      <c r="W88" s="135"/>
    </row>
    <row r="89" spans="1:23" x14ac:dyDescent="0.15">
      <c r="A89" s="153"/>
      <c r="B89" s="138" t="s">
        <v>14</v>
      </c>
      <c r="C89" s="135" t="s">
        <v>342</v>
      </c>
      <c r="D89" s="150">
        <v>3.2320000000000001E-3</v>
      </c>
      <c r="E89" s="150">
        <v>3.2320000000000001E-3</v>
      </c>
      <c r="F89" s="150">
        <v>3.2320000000000001E-3</v>
      </c>
      <c r="G89" s="150">
        <v>3.2320000000000001E-3</v>
      </c>
      <c r="H89" s="150">
        <v>3.2299999999999998E-3</v>
      </c>
      <c r="I89" s="150">
        <v>3.2299999999999998E-3</v>
      </c>
      <c r="J89" s="150">
        <v>3.2299999999999998E-3</v>
      </c>
      <c r="K89" s="150">
        <v>3.2299999999999998E-3</v>
      </c>
      <c r="L89" s="150">
        <f>3.262/1000</f>
        <v>3.2620000000000001E-3</v>
      </c>
      <c r="M89" s="150">
        <f>3.473/1000</f>
        <v>3.473E-3</v>
      </c>
      <c r="N89" s="150">
        <v>3.2560000000000002E-3</v>
      </c>
      <c r="O89" s="476">
        <v>3.2560000000000002E-3</v>
      </c>
      <c r="P89" s="476">
        <f>P6</f>
        <v>3.251E-3</v>
      </c>
      <c r="Q89" s="151" t="s">
        <v>181</v>
      </c>
      <c r="R89" s="140" t="s">
        <v>36</v>
      </c>
      <c r="S89" s="152" t="s">
        <v>61</v>
      </c>
      <c r="T89" s="135"/>
      <c r="U89" s="135"/>
      <c r="V89" s="135"/>
      <c r="W89" s="135"/>
    </row>
    <row r="90" spans="1:23" x14ac:dyDescent="0.15">
      <c r="A90" s="153"/>
      <c r="B90" s="138" t="s">
        <v>16</v>
      </c>
      <c r="C90" s="135" t="s">
        <v>343</v>
      </c>
      <c r="D90" s="149">
        <v>1.805E-3</v>
      </c>
      <c r="E90" s="149">
        <v>1.805E-3</v>
      </c>
      <c r="F90" s="149">
        <v>1.805E-3</v>
      </c>
      <c r="G90" s="149">
        <v>1.805E-3</v>
      </c>
      <c r="H90" s="149">
        <v>1.8060000000000001E-3</v>
      </c>
      <c r="I90" s="149">
        <v>1.8060000000000001E-3</v>
      </c>
      <c r="J90" s="149">
        <v>1.8060000000000001E-3</v>
      </c>
      <c r="K90" s="149">
        <v>1.8060000000000001E-3</v>
      </c>
      <c r="L90" s="150">
        <f>1.798/1000</f>
        <v>1.7980000000000001E-3</v>
      </c>
      <c r="M90" s="150">
        <f t="shared" ref="M90" si="14">1.798/1000</f>
        <v>1.7980000000000001E-3</v>
      </c>
      <c r="N90" s="150">
        <v>1.7979999999999999E-3</v>
      </c>
      <c r="O90" s="476">
        <v>1.802E-3</v>
      </c>
      <c r="P90" s="476">
        <f>P9</f>
        <v>1.792E-3</v>
      </c>
      <c r="Q90" s="151" t="s">
        <v>181</v>
      </c>
      <c r="R90" s="140" t="s">
        <v>36</v>
      </c>
      <c r="S90" s="152" t="s">
        <v>61</v>
      </c>
      <c r="T90" s="135"/>
      <c r="U90" s="135"/>
      <c r="V90" s="135"/>
      <c r="W90" s="135"/>
    </row>
    <row r="91" spans="1:23" x14ac:dyDescent="0.15">
      <c r="A91" s="166" t="s">
        <v>175</v>
      </c>
      <c r="B91" s="138"/>
      <c r="C91" s="135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1"/>
      <c r="R91" s="140"/>
      <c r="S91" s="152"/>
      <c r="T91" s="135"/>
      <c r="U91" s="135"/>
      <c r="V91" s="135"/>
      <c r="W91" s="135"/>
    </row>
    <row r="92" spans="1:23" x14ac:dyDescent="0.15">
      <c r="A92" s="153" t="s">
        <v>56</v>
      </c>
      <c r="B92" s="138" t="s">
        <v>47</v>
      </c>
      <c r="C92" s="135" t="s">
        <v>310</v>
      </c>
      <c r="D92" s="150">
        <f>0.22/1000</f>
        <v>2.2000000000000001E-4</v>
      </c>
      <c r="E92" s="150">
        <f t="shared" ref="E92:J92" si="15">0.22/1000</f>
        <v>2.2000000000000001E-4</v>
      </c>
      <c r="F92" s="150">
        <f t="shared" si="15"/>
        <v>2.2000000000000001E-4</v>
      </c>
      <c r="G92" s="150">
        <f t="shared" si="15"/>
        <v>2.2000000000000001E-4</v>
      </c>
      <c r="H92" s="150">
        <f t="shared" si="15"/>
        <v>2.2000000000000001E-4</v>
      </c>
      <c r="I92" s="150">
        <f t="shared" si="15"/>
        <v>2.2000000000000001E-4</v>
      </c>
      <c r="J92" s="150">
        <f t="shared" si="15"/>
        <v>2.2000000000000001E-4</v>
      </c>
      <c r="K92" s="150">
        <f t="shared" ref="K92" si="16">0.195/1000</f>
        <v>1.95E-4</v>
      </c>
      <c r="L92" s="150">
        <f>0.195/1000</f>
        <v>1.95E-4</v>
      </c>
      <c r="M92" s="150">
        <f>0.193/1000</f>
        <v>1.93E-4</v>
      </c>
      <c r="N92" s="150">
        <v>1.93E-4</v>
      </c>
      <c r="O92" s="476">
        <v>1.93E-4</v>
      </c>
      <c r="P92" s="476">
        <f>P87</f>
        <v>1.9100000000000001E-4</v>
      </c>
      <c r="Q92" s="151" t="s">
        <v>183</v>
      </c>
      <c r="R92" s="140" t="s">
        <v>36</v>
      </c>
      <c r="S92" s="152"/>
      <c r="T92" s="135"/>
      <c r="U92" s="135"/>
      <c r="V92" s="135"/>
      <c r="W92" s="135"/>
    </row>
    <row r="93" spans="1:23" x14ac:dyDescent="0.15">
      <c r="A93" s="153"/>
      <c r="B93" s="138" t="s">
        <v>15</v>
      </c>
      <c r="C93" s="135" t="s">
        <v>331</v>
      </c>
      <c r="D93" s="150">
        <f>0.224/1000</f>
        <v>2.24E-4</v>
      </c>
      <c r="E93" s="150">
        <f t="shared" ref="E93:J93" si="17">0.224/1000</f>
        <v>2.24E-4</v>
      </c>
      <c r="F93" s="150">
        <f t="shared" si="17"/>
        <v>2.24E-4</v>
      </c>
      <c r="G93" s="150">
        <f t="shared" si="17"/>
        <v>2.24E-4</v>
      </c>
      <c r="H93" s="150">
        <f t="shared" si="17"/>
        <v>2.24E-4</v>
      </c>
      <c r="I93" s="150">
        <f t="shared" si="17"/>
        <v>2.24E-4</v>
      </c>
      <c r="J93" s="150">
        <f t="shared" si="17"/>
        <v>2.24E-4</v>
      </c>
      <c r="K93" s="150">
        <f t="shared" ref="K93" si="18">0.202/1000</f>
        <v>2.02E-4</v>
      </c>
      <c r="L93" s="150">
        <f>0.202/1000</f>
        <v>2.02E-4</v>
      </c>
      <c r="M93" s="150">
        <f>0.204/1000</f>
        <v>2.04E-4</v>
      </c>
      <c r="N93" s="150">
        <v>2.04E-4</v>
      </c>
      <c r="O93" s="476">
        <v>2.04E-4</v>
      </c>
      <c r="P93" s="476">
        <v>1.95E-4</v>
      </c>
      <c r="Q93" s="151" t="s">
        <v>183</v>
      </c>
      <c r="R93" s="140" t="s">
        <v>36</v>
      </c>
      <c r="S93" s="152" t="s">
        <v>61</v>
      </c>
      <c r="T93" s="135"/>
      <c r="U93" s="135"/>
      <c r="V93" s="135"/>
      <c r="W93" s="135"/>
    </row>
    <row r="94" spans="1:23" x14ac:dyDescent="0.15">
      <c r="A94" s="153"/>
      <c r="B94" s="138" t="s">
        <v>14</v>
      </c>
      <c r="C94" s="135" t="s">
        <v>332</v>
      </c>
      <c r="D94" s="150">
        <f>0.213/1000</f>
        <v>2.13E-4</v>
      </c>
      <c r="E94" s="150">
        <f t="shared" ref="E94:J94" si="19">0.213/1000</f>
        <v>2.13E-4</v>
      </c>
      <c r="F94" s="150">
        <f t="shared" si="19"/>
        <v>2.13E-4</v>
      </c>
      <c r="G94" s="150">
        <f t="shared" si="19"/>
        <v>2.13E-4</v>
      </c>
      <c r="H94" s="150">
        <f t="shared" si="19"/>
        <v>2.13E-4</v>
      </c>
      <c r="I94" s="150">
        <f t="shared" si="19"/>
        <v>2.13E-4</v>
      </c>
      <c r="J94" s="150">
        <f t="shared" si="19"/>
        <v>2.13E-4</v>
      </c>
      <c r="K94" s="150">
        <f t="shared" ref="K94" si="20">0.176/1000</f>
        <v>1.76E-4</v>
      </c>
      <c r="L94" s="150">
        <f>0.176/1000</f>
        <v>1.76E-4</v>
      </c>
      <c r="M94" s="150">
        <f>0.18/1000</f>
        <v>1.7999999999999998E-4</v>
      </c>
      <c r="N94" s="150">
        <v>1.8000000000000001E-4</v>
      </c>
      <c r="O94" s="476">
        <v>1.8000000000000001E-4</v>
      </c>
      <c r="P94" s="476">
        <v>1.8000000000000001E-4</v>
      </c>
      <c r="Q94" s="151" t="s">
        <v>183</v>
      </c>
      <c r="R94" s="140" t="s">
        <v>36</v>
      </c>
      <c r="S94" s="152" t="s">
        <v>61</v>
      </c>
      <c r="T94" s="135"/>
      <c r="U94" s="135"/>
      <c r="V94" s="135"/>
      <c r="W94" s="135"/>
    </row>
    <row r="95" spans="1:23" x14ac:dyDescent="0.15">
      <c r="A95" s="153"/>
      <c r="B95" s="138" t="s">
        <v>16</v>
      </c>
      <c r="C95" s="135" t="s">
        <v>333</v>
      </c>
      <c r="D95" s="150">
        <f>0.196/1000</f>
        <v>1.9600000000000002E-4</v>
      </c>
      <c r="E95" s="150">
        <f t="shared" ref="E95:J95" si="21">0.196/1000</f>
        <v>1.9600000000000002E-4</v>
      </c>
      <c r="F95" s="150">
        <f t="shared" si="21"/>
        <v>1.9600000000000002E-4</v>
      </c>
      <c r="G95" s="150">
        <f t="shared" si="21"/>
        <v>1.9600000000000002E-4</v>
      </c>
      <c r="H95" s="150">
        <f t="shared" si="21"/>
        <v>1.9600000000000002E-4</v>
      </c>
      <c r="I95" s="150">
        <f t="shared" si="21"/>
        <v>1.9600000000000002E-4</v>
      </c>
      <c r="J95" s="150">
        <f t="shared" si="21"/>
        <v>1.9600000000000002E-4</v>
      </c>
      <c r="K95" s="150">
        <f t="shared" ref="K95" si="22">0.153/1000</f>
        <v>1.5300000000000001E-4</v>
      </c>
      <c r="L95" s="150">
        <f>0.153/1000</f>
        <v>1.5300000000000001E-4</v>
      </c>
      <c r="M95" s="150">
        <f>0.152/1000</f>
        <v>1.5200000000000001E-4</v>
      </c>
      <c r="N95" s="150">
        <v>1.5200000000000001E-4</v>
      </c>
      <c r="O95" s="476">
        <v>1.5200000000000001E-4</v>
      </c>
      <c r="P95" s="476">
        <v>1.8100000000000001E-4</v>
      </c>
      <c r="Q95" s="151" t="s">
        <v>183</v>
      </c>
      <c r="R95" s="140" t="s">
        <v>36</v>
      </c>
      <c r="S95" s="152" t="s">
        <v>61</v>
      </c>
      <c r="T95" s="135"/>
      <c r="U95" s="135"/>
      <c r="V95" s="135"/>
      <c r="W95" s="135"/>
    </row>
    <row r="96" spans="1:23" x14ac:dyDescent="0.15">
      <c r="A96" s="166" t="s">
        <v>57</v>
      </c>
      <c r="B96" s="138"/>
      <c r="C96" s="135" t="s">
        <v>334</v>
      </c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1"/>
      <c r="R96" s="140"/>
      <c r="S96" s="152"/>
      <c r="T96" s="135"/>
      <c r="U96" s="135"/>
      <c r="V96" s="135"/>
      <c r="W96" s="135"/>
    </row>
    <row r="97" spans="1:23" x14ac:dyDescent="0.15">
      <c r="A97" s="153" t="s">
        <v>58</v>
      </c>
      <c r="B97" s="138" t="s">
        <v>47</v>
      </c>
      <c r="C97" s="135" t="s">
        <v>335</v>
      </c>
      <c r="D97" s="150">
        <v>0</v>
      </c>
      <c r="E97" s="150">
        <v>0</v>
      </c>
      <c r="F97" s="150">
        <v>0</v>
      </c>
      <c r="G97" s="150">
        <v>0</v>
      </c>
      <c r="H97" s="150">
        <v>0</v>
      </c>
      <c r="I97" s="150">
        <v>0</v>
      </c>
      <c r="J97" s="150">
        <v>0</v>
      </c>
      <c r="K97" s="150">
        <v>0</v>
      </c>
      <c r="L97" s="150">
        <v>0</v>
      </c>
      <c r="M97" s="150">
        <v>0</v>
      </c>
      <c r="N97" s="150">
        <v>0</v>
      </c>
      <c r="O97" s="150">
        <v>0</v>
      </c>
      <c r="P97" s="150">
        <v>0</v>
      </c>
      <c r="Q97" s="151" t="s">
        <v>183</v>
      </c>
      <c r="R97" s="140" t="s">
        <v>36</v>
      </c>
      <c r="S97" s="152"/>
      <c r="T97" s="135"/>
      <c r="U97" s="135"/>
      <c r="V97" s="135"/>
      <c r="W97" s="135"/>
    </row>
    <row r="98" spans="1:23" x14ac:dyDescent="0.15">
      <c r="A98" s="153"/>
      <c r="B98" s="138" t="s">
        <v>53</v>
      </c>
      <c r="C98" s="135" t="s">
        <v>336</v>
      </c>
      <c r="D98" s="150">
        <f>0.007/1000</f>
        <v>6.9999999999999999E-6</v>
      </c>
      <c r="E98" s="150">
        <f t="shared" ref="E98:H98" si="23">0.007/1000</f>
        <v>6.9999999999999999E-6</v>
      </c>
      <c r="F98" s="150">
        <f t="shared" si="23"/>
        <v>6.9999999999999999E-6</v>
      </c>
      <c r="G98" s="150">
        <f t="shared" si="23"/>
        <v>6.9999999999999999E-6</v>
      </c>
      <c r="H98" s="150">
        <f t="shared" si="23"/>
        <v>6.9999999999999999E-6</v>
      </c>
      <c r="I98" s="150">
        <f t="shared" ref="I98:K98" si="24">0.006/1000</f>
        <v>6.0000000000000002E-6</v>
      </c>
      <c r="J98" s="150">
        <f t="shared" si="24"/>
        <v>6.0000000000000002E-6</v>
      </c>
      <c r="K98" s="150">
        <f t="shared" si="24"/>
        <v>6.0000000000000002E-6</v>
      </c>
      <c r="L98" s="150">
        <f>0.006/1000</f>
        <v>6.0000000000000002E-6</v>
      </c>
      <c r="M98" s="150">
        <f t="shared" ref="M98:O98" si="25">0.006/1000</f>
        <v>6.0000000000000002E-6</v>
      </c>
      <c r="N98" s="150">
        <f t="shared" si="25"/>
        <v>6.0000000000000002E-6</v>
      </c>
      <c r="O98" s="150">
        <f t="shared" si="25"/>
        <v>6.0000000000000002E-6</v>
      </c>
      <c r="P98" s="150">
        <f>0.003/1000</f>
        <v>3.0000000000000001E-6</v>
      </c>
      <c r="Q98" s="151" t="s">
        <v>183</v>
      </c>
      <c r="R98" s="140" t="s">
        <v>36</v>
      </c>
      <c r="S98" s="152"/>
      <c r="T98" s="135"/>
      <c r="U98" s="135"/>
      <c r="V98" s="135"/>
      <c r="W98" s="135"/>
    </row>
    <row r="99" spans="1:23" x14ac:dyDescent="0.15">
      <c r="A99" s="168" t="s">
        <v>6</v>
      </c>
      <c r="B99" s="138"/>
      <c r="C99" s="135"/>
      <c r="D99" s="149"/>
      <c r="E99" s="149"/>
      <c r="F99" s="149"/>
      <c r="G99" s="149"/>
      <c r="H99" s="149"/>
      <c r="I99" s="149"/>
      <c r="J99" s="149"/>
      <c r="K99" s="149"/>
      <c r="L99" s="150"/>
      <c r="M99" s="150"/>
      <c r="N99" s="150"/>
      <c r="O99" s="150"/>
      <c r="P99" s="150"/>
      <c r="Q99" s="151"/>
      <c r="R99" s="140"/>
      <c r="S99" s="152"/>
      <c r="T99" s="135"/>
      <c r="U99" s="135"/>
      <c r="V99" s="135"/>
      <c r="W99" s="135"/>
    </row>
    <row r="100" spans="1:23" x14ac:dyDescent="0.15">
      <c r="A100" s="167" t="s">
        <v>46</v>
      </c>
      <c r="B100" s="138" t="s">
        <v>47</v>
      </c>
      <c r="C100" s="135" t="s">
        <v>384</v>
      </c>
      <c r="D100" s="149">
        <f>0.039/1000</f>
        <v>3.8999999999999999E-5</v>
      </c>
      <c r="E100" s="149">
        <f t="shared" ref="E100:F100" si="26">0.039/1000</f>
        <v>3.8999999999999999E-5</v>
      </c>
      <c r="F100" s="149">
        <f t="shared" si="26"/>
        <v>3.8999999999999999E-5</v>
      </c>
      <c r="G100" s="149">
        <v>3.8999999999999999E-5</v>
      </c>
      <c r="H100" s="149">
        <v>6.0000000000000002E-6</v>
      </c>
      <c r="I100" s="149">
        <v>6.0000000000000002E-6</v>
      </c>
      <c r="J100" s="149">
        <v>3.8999999999999999E-5</v>
      </c>
      <c r="K100" s="149">
        <v>6.0000000000000002E-6</v>
      </c>
      <c r="L100" s="150">
        <f>0.002/1000</f>
        <v>1.9999999999999999E-6</v>
      </c>
      <c r="M100" s="150">
        <f t="shared" ref="M100:O100" si="27">0.002/1000</f>
        <v>1.9999999999999999E-6</v>
      </c>
      <c r="N100" s="150">
        <f t="shared" si="27"/>
        <v>1.9999999999999999E-6</v>
      </c>
      <c r="O100" s="150">
        <f t="shared" si="27"/>
        <v>1.9999999999999999E-6</v>
      </c>
      <c r="P100" s="150">
        <f>0.003/1000</f>
        <v>3.0000000000000001E-6</v>
      </c>
      <c r="Q100" s="151" t="s">
        <v>183</v>
      </c>
      <c r="R100" s="140" t="s">
        <v>36</v>
      </c>
      <c r="S100" s="152"/>
      <c r="T100" s="135"/>
      <c r="U100" s="135"/>
      <c r="V100" s="135"/>
      <c r="W100" s="135"/>
    </row>
    <row r="101" spans="1:23" x14ac:dyDescent="0.15">
      <c r="A101" s="153"/>
      <c r="B101" s="634" t="s">
        <v>14</v>
      </c>
      <c r="C101" s="135" t="s">
        <v>385</v>
      </c>
      <c r="D101" s="150">
        <f>0.065/1000</f>
        <v>6.5000000000000008E-5</v>
      </c>
      <c r="E101" s="150">
        <f t="shared" ref="E101:F101" si="28">0.065/1000</f>
        <v>6.5000000000000008E-5</v>
      </c>
      <c r="F101" s="150">
        <f t="shared" si="28"/>
        <v>6.5000000000000008E-5</v>
      </c>
      <c r="G101" s="150">
        <f>0.065/1000</f>
        <v>6.5000000000000008E-5</v>
      </c>
      <c r="H101" s="150">
        <f>0.024/1000</f>
        <v>2.4000000000000001E-5</v>
      </c>
      <c r="I101" s="150">
        <f>0.024/1000</f>
        <v>2.4000000000000001E-5</v>
      </c>
      <c r="J101" s="150">
        <f t="shared" ref="J101" si="29">0.09/1000</f>
        <v>8.9999999999999992E-5</v>
      </c>
      <c r="K101" s="150">
        <f>0.024/1000</f>
        <v>2.4000000000000001E-5</v>
      </c>
      <c r="L101" s="150">
        <f>0.09/1000</f>
        <v>8.9999999999999992E-5</v>
      </c>
      <c r="M101" s="150">
        <f t="shared" ref="M101:O101" si="30">0.09/1000</f>
        <v>8.9999999999999992E-5</v>
      </c>
      <c r="N101" s="150">
        <f t="shared" si="30"/>
        <v>8.9999999999999992E-5</v>
      </c>
      <c r="O101" s="150">
        <f t="shared" si="30"/>
        <v>8.9999999999999992E-5</v>
      </c>
      <c r="P101" s="150">
        <f>0.089/1000</f>
        <v>8.8999999999999995E-5</v>
      </c>
      <c r="Q101" s="151" t="s">
        <v>183</v>
      </c>
      <c r="R101" s="140" t="s">
        <v>36</v>
      </c>
      <c r="S101" s="152"/>
      <c r="T101" s="135"/>
      <c r="U101" s="135"/>
      <c r="V101" s="135"/>
      <c r="W101" s="135"/>
    </row>
    <row r="102" spans="1:23" x14ac:dyDescent="0.15">
      <c r="A102" s="153"/>
      <c r="B102" s="634" t="s">
        <v>53</v>
      </c>
      <c r="C102" s="135" t="s">
        <v>394</v>
      </c>
      <c r="D102" s="150">
        <f>0.031/1000</f>
        <v>3.1000000000000001E-5</v>
      </c>
      <c r="E102" s="150">
        <f t="shared" ref="E102:G102" si="31">0.031/1000</f>
        <v>3.1000000000000001E-5</v>
      </c>
      <c r="F102" s="150">
        <f t="shared" si="31"/>
        <v>3.1000000000000001E-5</v>
      </c>
      <c r="G102" s="150">
        <f t="shared" si="31"/>
        <v>3.1000000000000001E-5</v>
      </c>
      <c r="H102" s="150">
        <v>0</v>
      </c>
      <c r="I102" s="150">
        <v>0</v>
      </c>
      <c r="J102" s="150">
        <v>0</v>
      </c>
      <c r="K102" s="150">
        <v>0</v>
      </c>
      <c r="L102" s="150">
        <v>0</v>
      </c>
      <c r="M102" s="150">
        <v>0</v>
      </c>
      <c r="N102" s="150">
        <v>0</v>
      </c>
      <c r="O102" s="150">
        <v>0</v>
      </c>
      <c r="P102" s="150">
        <v>0</v>
      </c>
      <c r="Q102" s="151" t="s">
        <v>183</v>
      </c>
      <c r="R102" s="140" t="s">
        <v>36</v>
      </c>
      <c r="S102" s="152"/>
      <c r="T102" s="135"/>
      <c r="U102" s="135"/>
      <c r="V102" s="135"/>
      <c r="W102" s="135"/>
    </row>
    <row r="103" spans="1:23" x14ac:dyDescent="0.15">
      <c r="A103" s="153"/>
      <c r="B103" s="634" t="s">
        <v>45</v>
      </c>
      <c r="C103" s="135" t="s">
        <v>395</v>
      </c>
      <c r="D103" s="150">
        <f t="shared" ref="D103:F103" si="32">0.026/1000</f>
        <v>2.5999999999999998E-5</v>
      </c>
      <c r="E103" s="150">
        <f t="shared" si="32"/>
        <v>2.5999999999999998E-5</v>
      </c>
      <c r="F103" s="150">
        <f t="shared" si="32"/>
        <v>2.5999999999999998E-5</v>
      </c>
      <c r="G103" s="150">
        <f t="shared" ref="G103:K103" si="33">0.026/1000</f>
        <v>2.5999999999999998E-5</v>
      </c>
      <c r="H103" s="150">
        <f t="shared" si="33"/>
        <v>2.5999999999999998E-5</v>
      </c>
      <c r="I103" s="150">
        <f t="shared" si="33"/>
        <v>2.5999999999999998E-5</v>
      </c>
      <c r="J103" s="150">
        <f t="shared" si="33"/>
        <v>2.5999999999999998E-5</v>
      </c>
      <c r="K103" s="150">
        <f t="shared" si="33"/>
        <v>2.5999999999999998E-5</v>
      </c>
      <c r="L103" s="150">
        <f>0.026/1000</f>
        <v>2.5999999999999998E-5</v>
      </c>
      <c r="M103" s="150">
        <f t="shared" ref="M103:O103" si="34">0.026/1000</f>
        <v>2.5999999999999998E-5</v>
      </c>
      <c r="N103" s="150">
        <f t="shared" si="34"/>
        <v>2.5999999999999998E-5</v>
      </c>
      <c r="O103" s="150">
        <f t="shared" si="34"/>
        <v>2.5999999999999998E-5</v>
      </c>
      <c r="P103" s="150">
        <f>0.014/1000</f>
        <v>1.4E-5</v>
      </c>
      <c r="Q103" s="151" t="s">
        <v>183</v>
      </c>
      <c r="R103" s="140" t="s">
        <v>36</v>
      </c>
      <c r="S103" s="152"/>
      <c r="T103" s="135"/>
      <c r="U103" s="135"/>
      <c r="V103" s="135"/>
      <c r="W103" s="135"/>
    </row>
    <row r="104" spans="1:23" x14ac:dyDescent="0.15">
      <c r="A104" s="153" t="s">
        <v>50</v>
      </c>
      <c r="B104" s="138" t="s">
        <v>47</v>
      </c>
      <c r="C104" s="135" t="s">
        <v>388</v>
      </c>
      <c r="D104" s="150">
        <f>0.14/1000</f>
        <v>1.4000000000000001E-4</v>
      </c>
      <c r="E104" s="150">
        <f t="shared" ref="E104:F104" si="35">0.14/1000</f>
        <v>1.4000000000000001E-4</v>
      </c>
      <c r="F104" s="150">
        <f t="shared" si="35"/>
        <v>1.4000000000000001E-4</v>
      </c>
      <c r="G104" s="150">
        <v>1.3999999999999999E-4</v>
      </c>
      <c r="H104" s="150">
        <v>1.3999999999999999E-4</v>
      </c>
      <c r="I104" s="150">
        <v>1.3999999999999999E-4</v>
      </c>
      <c r="J104" s="150">
        <v>1.3999999999999999E-4</v>
      </c>
      <c r="K104" s="150">
        <v>1.3999999999999999E-4</v>
      </c>
      <c r="L104" s="150">
        <f>0.103/1000</f>
        <v>1.03E-4</v>
      </c>
      <c r="M104" s="150">
        <f t="shared" ref="M104:O104" si="36">0.103/1000</f>
        <v>1.03E-4</v>
      </c>
      <c r="N104" s="150">
        <f t="shared" si="36"/>
        <v>1.03E-4</v>
      </c>
      <c r="O104" s="150">
        <f t="shared" si="36"/>
        <v>1.03E-4</v>
      </c>
      <c r="P104" s="150">
        <f>0.092/1000</f>
        <v>9.2E-5</v>
      </c>
      <c r="Q104" s="151" t="s">
        <v>183</v>
      </c>
      <c r="R104" s="140" t="s">
        <v>36</v>
      </c>
      <c r="S104" s="152"/>
      <c r="T104" s="135"/>
      <c r="U104" s="135"/>
      <c r="V104" s="135"/>
      <c r="W104" s="135"/>
    </row>
    <row r="105" spans="1:23" x14ac:dyDescent="0.15">
      <c r="A105" s="153"/>
      <c r="B105" s="634" t="s">
        <v>14</v>
      </c>
      <c r="C105" s="135" t="s">
        <v>396</v>
      </c>
      <c r="D105" s="150">
        <v>0</v>
      </c>
      <c r="E105" s="150">
        <v>0</v>
      </c>
      <c r="F105" s="150">
        <v>0</v>
      </c>
      <c r="G105" s="150">
        <v>0</v>
      </c>
      <c r="H105" s="150">
        <v>0</v>
      </c>
      <c r="I105" s="150">
        <v>0</v>
      </c>
      <c r="J105" s="150">
        <v>0</v>
      </c>
      <c r="K105" s="150">
        <v>0</v>
      </c>
      <c r="L105" s="150">
        <f>0.129/1000</f>
        <v>1.2899999999999999E-4</v>
      </c>
      <c r="M105" s="150">
        <f t="shared" ref="M105:O105" si="37">0.129/1000</f>
        <v>1.2899999999999999E-4</v>
      </c>
      <c r="N105" s="150">
        <f t="shared" si="37"/>
        <v>1.2899999999999999E-4</v>
      </c>
      <c r="O105" s="150">
        <f t="shared" si="37"/>
        <v>1.2899999999999999E-4</v>
      </c>
      <c r="P105" s="150">
        <f>0.13/1000</f>
        <v>1.3000000000000002E-4</v>
      </c>
      <c r="Q105" s="151" t="s">
        <v>183</v>
      </c>
      <c r="R105" s="140" t="s">
        <v>36</v>
      </c>
      <c r="S105" s="152"/>
      <c r="T105" s="135"/>
      <c r="U105" s="135"/>
      <c r="V105" s="135"/>
      <c r="W105" s="135"/>
    </row>
    <row r="106" spans="1:23" x14ac:dyDescent="0.15">
      <c r="A106" s="153"/>
      <c r="B106" s="634" t="s">
        <v>128</v>
      </c>
      <c r="C106" s="135" t="s">
        <v>397</v>
      </c>
      <c r="D106" s="150">
        <f>0.135/1000</f>
        <v>1.35E-4</v>
      </c>
      <c r="E106" s="150">
        <f t="shared" ref="E106:J106" si="38">0.135/1000</f>
        <v>1.35E-4</v>
      </c>
      <c r="F106" s="150">
        <f t="shared" si="38"/>
        <v>1.35E-4</v>
      </c>
      <c r="G106" s="150">
        <f t="shared" si="38"/>
        <v>1.35E-4</v>
      </c>
      <c r="H106" s="150">
        <f t="shared" si="38"/>
        <v>1.35E-4</v>
      </c>
      <c r="I106" s="150">
        <f t="shared" si="38"/>
        <v>1.35E-4</v>
      </c>
      <c r="J106" s="150">
        <f t="shared" si="38"/>
        <v>1.35E-4</v>
      </c>
      <c r="K106" s="150">
        <f>0.135/1000</f>
        <v>1.35E-4</v>
      </c>
      <c r="L106" s="150">
        <f>0.055/1000</f>
        <v>5.5000000000000002E-5</v>
      </c>
      <c r="M106" s="150">
        <f t="shared" ref="M106:O106" si="39">0.055/1000</f>
        <v>5.5000000000000002E-5</v>
      </c>
      <c r="N106" s="150">
        <f t="shared" si="39"/>
        <v>5.5000000000000002E-5</v>
      </c>
      <c r="O106" s="150">
        <f t="shared" si="39"/>
        <v>5.5000000000000002E-5</v>
      </c>
      <c r="P106" s="150">
        <f>0.04/1000</f>
        <v>4.0000000000000003E-5</v>
      </c>
      <c r="Q106" s="151" t="s">
        <v>183</v>
      </c>
      <c r="R106" s="140" t="s">
        <v>36</v>
      </c>
      <c r="S106" s="152"/>
      <c r="T106" s="135"/>
      <c r="U106" s="135"/>
      <c r="V106" s="135"/>
      <c r="W106" s="135"/>
    </row>
    <row r="107" spans="1:23" x14ac:dyDescent="0.15">
      <c r="A107" s="153"/>
      <c r="B107" s="634" t="s">
        <v>129</v>
      </c>
      <c r="C107" s="135" t="s">
        <v>398</v>
      </c>
      <c r="D107" s="150">
        <f>0.146/1000</f>
        <v>1.46E-4</v>
      </c>
      <c r="E107" s="150">
        <f t="shared" ref="E107:J107" si="40">0.146/1000</f>
        <v>1.46E-4</v>
      </c>
      <c r="F107" s="150">
        <f t="shared" si="40"/>
        <v>1.46E-4</v>
      </c>
      <c r="G107" s="150">
        <f t="shared" si="40"/>
        <v>1.46E-4</v>
      </c>
      <c r="H107" s="150">
        <f t="shared" si="40"/>
        <v>1.46E-4</v>
      </c>
      <c r="I107" s="150">
        <f t="shared" si="40"/>
        <v>1.46E-4</v>
      </c>
      <c r="J107" s="150">
        <f t="shared" si="40"/>
        <v>1.46E-4</v>
      </c>
      <c r="K107" s="150">
        <f>0.146/1000</f>
        <v>1.46E-4</v>
      </c>
      <c r="L107" s="150">
        <f>0.116/1000</f>
        <v>1.16E-4</v>
      </c>
      <c r="M107" s="150">
        <f t="shared" ref="M107:O107" si="41">0.116/1000</f>
        <v>1.16E-4</v>
      </c>
      <c r="N107" s="150">
        <f t="shared" si="41"/>
        <v>1.16E-4</v>
      </c>
      <c r="O107" s="150">
        <f t="shared" si="41"/>
        <v>1.16E-4</v>
      </c>
      <c r="P107" s="150">
        <f>0.12/1000</f>
        <v>1.1999999999999999E-4</v>
      </c>
      <c r="Q107" s="151" t="s">
        <v>183</v>
      </c>
      <c r="R107" s="140" t="s">
        <v>36</v>
      </c>
      <c r="S107" s="152"/>
      <c r="T107" s="135"/>
      <c r="U107" s="135"/>
      <c r="V107" s="135"/>
      <c r="W107" s="135"/>
    </row>
    <row r="108" spans="1:23" x14ac:dyDescent="0.15">
      <c r="A108" s="153"/>
      <c r="B108" s="634" t="s">
        <v>53</v>
      </c>
      <c r="C108" s="135" t="s">
        <v>391</v>
      </c>
      <c r="D108" s="150">
        <f>0.134/1000</f>
        <v>1.34E-4</v>
      </c>
      <c r="E108" s="150">
        <f t="shared" ref="E108:J108" si="42">0.134/1000</f>
        <v>1.34E-4</v>
      </c>
      <c r="F108" s="150">
        <f t="shared" si="42"/>
        <v>1.34E-4</v>
      </c>
      <c r="G108" s="150">
        <f t="shared" si="42"/>
        <v>1.34E-4</v>
      </c>
      <c r="H108" s="150">
        <f t="shared" si="42"/>
        <v>1.34E-4</v>
      </c>
      <c r="I108" s="150">
        <f t="shared" si="42"/>
        <v>1.34E-4</v>
      </c>
      <c r="J108" s="150">
        <f t="shared" si="42"/>
        <v>1.34E-4</v>
      </c>
      <c r="K108" s="150">
        <f>0.134/1000</f>
        <v>1.34E-4</v>
      </c>
      <c r="L108" s="150">
        <f>0.026/1000</f>
        <v>2.5999999999999998E-5</v>
      </c>
      <c r="M108" s="150">
        <v>0</v>
      </c>
      <c r="N108" s="150">
        <f t="shared" ref="N108:O108" si="43">0.026/1000</f>
        <v>2.5999999999999998E-5</v>
      </c>
      <c r="O108" s="150">
        <f t="shared" si="43"/>
        <v>2.5999999999999998E-5</v>
      </c>
      <c r="P108" s="150">
        <v>0</v>
      </c>
      <c r="Q108" s="151" t="s">
        <v>183</v>
      </c>
      <c r="R108" s="140" t="s">
        <v>36</v>
      </c>
      <c r="S108" s="152"/>
      <c r="T108" s="135"/>
      <c r="U108" s="135"/>
      <c r="V108" s="135"/>
      <c r="W108" s="135"/>
    </row>
    <row r="109" spans="1:23" x14ac:dyDescent="0.15">
      <c r="A109" s="153" t="s">
        <v>54</v>
      </c>
      <c r="B109" s="634" t="s">
        <v>53</v>
      </c>
      <c r="C109" s="135" t="s">
        <v>392</v>
      </c>
      <c r="D109" s="150">
        <f>0.095/1000</f>
        <v>9.5000000000000005E-5</v>
      </c>
      <c r="E109" s="150">
        <f t="shared" ref="E109:I109" si="44">0.095/1000</f>
        <v>9.5000000000000005E-5</v>
      </c>
      <c r="F109" s="150">
        <f t="shared" si="44"/>
        <v>9.5000000000000005E-5</v>
      </c>
      <c r="G109" s="150">
        <f t="shared" si="44"/>
        <v>9.5000000000000005E-5</v>
      </c>
      <c r="H109" s="150">
        <f t="shared" si="44"/>
        <v>9.5000000000000005E-5</v>
      </c>
      <c r="I109" s="150">
        <f t="shared" si="44"/>
        <v>9.5000000000000005E-5</v>
      </c>
      <c r="J109" s="150">
        <v>7.3999999999999996E-5</v>
      </c>
      <c r="K109" s="150">
        <f>0.074/1000</f>
        <v>7.3999999999999996E-5</v>
      </c>
      <c r="L109" s="150">
        <v>0</v>
      </c>
      <c r="M109" s="150">
        <v>0</v>
      </c>
      <c r="N109" s="150">
        <v>0</v>
      </c>
      <c r="O109" s="150">
        <v>0</v>
      </c>
      <c r="P109" s="150">
        <v>0</v>
      </c>
      <c r="Q109" s="151" t="s">
        <v>183</v>
      </c>
      <c r="R109" s="140" t="s">
        <v>36</v>
      </c>
      <c r="S109" s="152"/>
      <c r="T109" s="135"/>
      <c r="U109" s="135"/>
      <c r="V109" s="135"/>
      <c r="W109" s="135"/>
    </row>
    <row r="110" spans="1:23" ht="14" thickBot="1" x14ac:dyDescent="0.2">
      <c r="A110" s="169" t="s">
        <v>55</v>
      </c>
      <c r="B110" s="605" t="s">
        <v>53</v>
      </c>
      <c r="C110" s="346" t="s">
        <v>393</v>
      </c>
      <c r="D110" s="155">
        <f>0.084/1000</f>
        <v>8.4000000000000009E-5</v>
      </c>
      <c r="E110" s="155">
        <f t="shared" ref="E110:I110" si="45">0.084/1000</f>
        <v>8.4000000000000009E-5</v>
      </c>
      <c r="F110" s="155">
        <f t="shared" si="45"/>
        <v>8.4000000000000009E-5</v>
      </c>
      <c r="G110" s="155">
        <f t="shared" si="45"/>
        <v>8.4000000000000009E-5</v>
      </c>
      <c r="H110" s="155">
        <f t="shared" si="45"/>
        <v>8.4000000000000009E-5</v>
      </c>
      <c r="I110" s="155">
        <f t="shared" si="45"/>
        <v>8.4000000000000009E-5</v>
      </c>
      <c r="J110" s="155">
        <v>6.3999999999999997E-5</v>
      </c>
      <c r="K110" s="155">
        <f>0.066/1000</f>
        <v>6.6000000000000005E-5</v>
      </c>
      <c r="L110" s="155">
        <v>0</v>
      </c>
      <c r="M110" s="155">
        <v>0</v>
      </c>
      <c r="N110" s="155">
        <v>0</v>
      </c>
      <c r="O110" s="155">
        <v>0</v>
      </c>
      <c r="P110" s="155">
        <v>0</v>
      </c>
      <c r="Q110" s="156" t="s">
        <v>183</v>
      </c>
      <c r="R110" s="157" t="s">
        <v>36</v>
      </c>
      <c r="S110" s="158"/>
      <c r="T110" s="135"/>
      <c r="U110" s="135"/>
      <c r="V110" s="135"/>
      <c r="W110" s="135"/>
    </row>
    <row r="111" spans="1:23" ht="14" thickBot="1" x14ac:dyDescent="0.2">
      <c r="A111" s="640" t="s">
        <v>459</v>
      </c>
      <c r="B111" s="626"/>
      <c r="C111" s="627"/>
      <c r="D111" s="628"/>
      <c r="E111" s="628"/>
      <c r="F111" s="628"/>
      <c r="G111" s="628"/>
      <c r="H111" s="628"/>
      <c r="I111" s="628"/>
      <c r="J111" s="628"/>
      <c r="K111" s="628"/>
      <c r="L111" s="629"/>
      <c r="M111" s="629"/>
      <c r="N111" s="629"/>
      <c r="O111" s="629"/>
      <c r="P111" s="629"/>
      <c r="Q111" s="630"/>
      <c r="R111" s="631"/>
      <c r="S111" s="632"/>
      <c r="T111" s="135"/>
      <c r="U111" s="135"/>
      <c r="V111" s="135"/>
      <c r="W111" s="135"/>
    </row>
    <row r="112" spans="1:23" ht="14" thickBot="1" x14ac:dyDescent="0.2">
      <c r="A112" s="165" t="s">
        <v>65</v>
      </c>
      <c r="B112" s="138"/>
      <c r="C112" s="135"/>
      <c r="D112" s="149"/>
      <c r="E112" s="149"/>
      <c r="F112" s="149"/>
      <c r="G112" s="149"/>
      <c r="H112" s="160"/>
      <c r="I112" s="160"/>
      <c r="J112" s="160"/>
      <c r="K112" s="160"/>
      <c r="L112" s="161"/>
      <c r="M112" s="161"/>
      <c r="N112" s="161"/>
      <c r="O112" s="161"/>
      <c r="P112" s="161"/>
      <c r="Q112" s="162"/>
      <c r="R112" s="163"/>
      <c r="S112" s="164"/>
      <c r="T112" s="135"/>
      <c r="U112" s="135"/>
      <c r="V112" s="135"/>
      <c r="W112" s="135"/>
    </row>
    <row r="113" spans="1:23" ht="14" thickBot="1" x14ac:dyDescent="0.2">
      <c r="A113" s="611" t="s">
        <v>446</v>
      </c>
      <c r="B113" s="59"/>
      <c r="C113" s="344"/>
      <c r="D113" s="58"/>
      <c r="E113" s="58"/>
      <c r="F113" s="58"/>
      <c r="G113" s="58"/>
      <c r="H113" s="58"/>
      <c r="I113" s="58"/>
      <c r="J113" s="58"/>
      <c r="K113" s="58"/>
      <c r="L113" s="609"/>
      <c r="M113" s="609"/>
      <c r="N113" s="609"/>
      <c r="O113" s="609"/>
      <c r="P113" s="609"/>
      <c r="Q113" s="57"/>
      <c r="R113" s="146"/>
      <c r="S113" s="147"/>
      <c r="T113" s="135"/>
      <c r="U113" s="135"/>
      <c r="V113" s="135"/>
      <c r="W113" s="135"/>
    </row>
    <row r="114" spans="1:23" ht="14" thickBot="1" x14ac:dyDescent="0.2">
      <c r="A114" s="703" t="s">
        <v>516</v>
      </c>
      <c r="B114" s="59"/>
      <c r="C114" s="344"/>
      <c r="D114" s="58"/>
      <c r="E114" s="58"/>
      <c r="F114" s="58"/>
      <c r="G114" s="58"/>
      <c r="H114" s="58"/>
      <c r="I114" s="58"/>
      <c r="J114" s="58"/>
      <c r="K114" s="58"/>
      <c r="L114" s="609"/>
      <c r="M114" s="609"/>
      <c r="N114" s="609"/>
      <c r="O114" s="609"/>
      <c r="P114" s="609"/>
      <c r="Q114" s="57"/>
      <c r="R114" s="146"/>
      <c r="S114" s="147"/>
      <c r="T114" s="135"/>
      <c r="U114" s="135"/>
      <c r="V114" s="135"/>
      <c r="W114" s="135"/>
    </row>
    <row r="115" spans="1:23" ht="14" thickBot="1" x14ac:dyDescent="0.2">
      <c r="A115" s="703" t="s">
        <v>460</v>
      </c>
      <c r="B115" s="59"/>
      <c r="C115" s="344"/>
      <c r="D115" s="58"/>
      <c r="E115" s="58"/>
      <c r="F115" s="58"/>
      <c r="G115" s="58"/>
      <c r="H115" s="58"/>
      <c r="I115" s="58"/>
      <c r="J115" s="58"/>
      <c r="K115" s="58"/>
      <c r="L115" s="609"/>
      <c r="M115" s="609"/>
      <c r="N115" s="609"/>
      <c r="O115" s="609"/>
      <c r="P115" s="609"/>
      <c r="Q115" s="57"/>
      <c r="R115" s="146"/>
      <c r="S115" s="147"/>
      <c r="T115" s="135"/>
      <c r="U115" s="135"/>
      <c r="V115" s="135"/>
      <c r="W115" s="135"/>
    </row>
    <row r="116" spans="1:23" ht="14" thickBot="1" x14ac:dyDescent="0.2">
      <c r="A116" s="703" t="s">
        <v>462</v>
      </c>
      <c r="B116" s="59"/>
      <c r="C116" s="344"/>
      <c r="D116" s="58"/>
      <c r="E116" s="58"/>
      <c r="F116" s="58"/>
      <c r="G116" s="58"/>
      <c r="H116" s="58"/>
      <c r="I116" s="58"/>
      <c r="J116" s="58"/>
      <c r="K116" s="58"/>
      <c r="L116" s="609"/>
      <c r="M116" s="609"/>
      <c r="N116" s="609"/>
      <c r="O116" s="609"/>
      <c r="P116" s="609"/>
      <c r="Q116" s="57"/>
      <c r="R116" s="146"/>
      <c r="S116" s="147"/>
      <c r="T116" s="135"/>
      <c r="U116" s="135"/>
      <c r="V116" s="135"/>
      <c r="W116" s="135"/>
    </row>
    <row r="117" spans="1:23" ht="14" thickBot="1" x14ac:dyDescent="0.2">
      <c r="A117" s="611" t="s">
        <v>448</v>
      </c>
      <c r="B117" s="59"/>
      <c r="C117" s="344"/>
      <c r="D117" s="58"/>
      <c r="E117" s="58"/>
      <c r="F117" s="58"/>
      <c r="G117" s="58"/>
      <c r="H117" s="58"/>
      <c r="I117" s="58"/>
      <c r="J117" s="58"/>
      <c r="K117" s="58"/>
      <c r="L117" s="609"/>
      <c r="M117" s="609"/>
      <c r="N117" s="609"/>
      <c r="O117" s="609"/>
      <c r="P117" s="609"/>
      <c r="Q117" s="57"/>
      <c r="R117" s="146"/>
      <c r="S117" s="147"/>
      <c r="T117" s="135"/>
      <c r="U117" s="135"/>
      <c r="V117" s="135"/>
      <c r="W117" s="135"/>
    </row>
    <row r="118" spans="1:23" ht="14" thickBot="1" x14ac:dyDescent="0.2">
      <c r="A118" s="612" t="s">
        <v>449</v>
      </c>
      <c r="B118" s="613"/>
      <c r="C118" s="613"/>
      <c r="D118" s="614"/>
      <c r="E118" s="614"/>
      <c r="F118" s="614"/>
      <c r="G118" s="614"/>
      <c r="H118" s="614"/>
      <c r="I118" s="614"/>
      <c r="J118" s="614"/>
      <c r="K118" s="614"/>
      <c r="L118" s="614"/>
      <c r="M118" s="614"/>
      <c r="N118" s="614"/>
      <c r="O118" s="614"/>
      <c r="P118" s="614"/>
      <c r="Q118" s="615"/>
      <c r="R118" s="146"/>
      <c r="S118" s="616"/>
      <c r="T118" s="135"/>
      <c r="U118" s="135"/>
      <c r="V118" s="135"/>
      <c r="W118" s="135"/>
    </row>
    <row r="119" spans="1:23" ht="14" thickBot="1" x14ac:dyDescent="0.2">
      <c r="A119" s="612" t="s">
        <v>517</v>
      </c>
      <c r="B119" s="613"/>
      <c r="C119" s="613"/>
      <c r="D119" s="614"/>
      <c r="E119" s="614"/>
      <c r="F119" s="614"/>
      <c r="G119" s="614"/>
      <c r="H119" s="614"/>
      <c r="I119" s="614"/>
      <c r="J119" s="614"/>
      <c r="K119" s="614"/>
      <c r="L119" s="614"/>
      <c r="M119" s="614"/>
      <c r="N119" s="614"/>
      <c r="O119" s="614"/>
      <c r="P119" s="614"/>
      <c r="Q119" s="615"/>
      <c r="R119" s="146"/>
      <c r="S119" s="616"/>
      <c r="T119" s="135"/>
      <c r="U119" s="135"/>
      <c r="V119" s="135"/>
      <c r="W119" s="135"/>
    </row>
    <row r="120" spans="1:23" x14ac:dyDescent="0.15">
      <c r="D120" s="617"/>
      <c r="E120" s="617"/>
      <c r="F120" s="617"/>
      <c r="G120" s="617"/>
      <c r="H120" s="617"/>
      <c r="I120" s="617"/>
      <c r="J120" s="617"/>
      <c r="K120" s="617"/>
      <c r="L120" s="617"/>
      <c r="M120" s="617"/>
      <c r="N120" s="617"/>
      <c r="O120" s="617"/>
      <c r="P120" s="617"/>
      <c r="Q120" s="618"/>
      <c r="R120" s="163"/>
      <c r="S120" s="619"/>
      <c r="T120" s="135"/>
      <c r="U120" s="135"/>
      <c r="V120" s="135"/>
      <c r="W120" s="135"/>
    </row>
    <row r="121" spans="1:23" x14ac:dyDescent="0.15">
      <c r="D121" s="620"/>
      <c r="E121" s="620"/>
      <c r="F121" s="620"/>
      <c r="G121" s="620"/>
      <c r="H121" s="620"/>
      <c r="I121" s="620"/>
      <c r="J121" s="620"/>
      <c r="K121" s="620"/>
      <c r="L121" s="620"/>
      <c r="M121" s="620"/>
      <c r="N121" s="620"/>
      <c r="O121" s="620"/>
      <c r="P121" s="620"/>
      <c r="Q121" s="621"/>
      <c r="R121" s="140"/>
      <c r="S121" s="622"/>
      <c r="T121" s="135"/>
      <c r="U121" s="135"/>
      <c r="V121" s="135"/>
      <c r="W121" s="135"/>
    </row>
    <row r="122" spans="1:23" x14ac:dyDescent="0.15">
      <c r="D122" s="620"/>
      <c r="E122" s="620"/>
      <c r="F122" s="620"/>
      <c r="G122" s="620"/>
      <c r="H122" s="620"/>
      <c r="I122" s="620"/>
      <c r="J122" s="620"/>
      <c r="K122" s="620"/>
      <c r="L122" s="620"/>
      <c r="M122" s="620"/>
      <c r="N122" s="620"/>
      <c r="O122" s="620"/>
      <c r="P122" s="620"/>
      <c r="Q122" s="621"/>
      <c r="R122" s="140"/>
      <c r="S122" s="622"/>
      <c r="T122" s="135"/>
      <c r="U122" s="135"/>
      <c r="V122" s="135"/>
      <c r="W122" s="135"/>
    </row>
    <row r="123" spans="1:23" x14ac:dyDescent="0.15">
      <c r="D123" s="620"/>
      <c r="E123" s="620"/>
      <c r="F123" s="620"/>
      <c r="G123" s="620"/>
      <c r="H123" s="620"/>
      <c r="I123" s="620"/>
      <c r="J123" s="620"/>
      <c r="K123" s="620"/>
      <c r="L123" s="620"/>
      <c r="M123" s="620"/>
      <c r="N123" s="620"/>
      <c r="O123" s="620"/>
      <c r="P123" s="620"/>
      <c r="Q123" s="621"/>
      <c r="R123" s="140"/>
      <c r="S123" s="622"/>
      <c r="T123" s="135"/>
      <c r="U123" s="135"/>
      <c r="V123" s="135"/>
      <c r="W123" s="135"/>
    </row>
    <row r="124" spans="1:23" x14ac:dyDescent="0.15">
      <c r="D124" s="620"/>
      <c r="E124" s="620"/>
      <c r="F124" s="620"/>
      <c r="G124" s="620"/>
      <c r="H124" s="620"/>
      <c r="I124" s="620"/>
      <c r="J124" s="620"/>
      <c r="K124" s="620"/>
      <c r="L124" s="620"/>
      <c r="M124" s="620"/>
      <c r="N124" s="620"/>
      <c r="O124" s="620"/>
      <c r="P124" s="620"/>
      <c r="Q124" s="621"/>
      <c r="R124" s="140"/>
      <c r="S124" s="622"/>
      <c r="T124" s="135"/>
      <c r="U124" s="135"/>
      <c r="V124" s="135"/>
      <c r="W124" s="135"/>
    </row>
    <row r="125" spans="1:23" x14ac:dyDescent="0.15">
      <c r="D125" s="620"/>
      <c r="E125" s="620"/>
      <c r="F125" s="620"/>
      <c r="G125" s="620"/>
      <c r="H125" s="620"/>
      <c r="I125" s="620"/>
      <c r="J125" s="620"/>
      <c r="K125" s="620"/>
      <c r="L125" s="620"/>
      <c r="M125" s="620"/>
      <c r="N125" s="620"/>
      <c r="O125" s="620"/>
      <c r="P125" s="620"/>
      <c r="Q125" s="621"/>
      <c r="R125" s="140"/>
      <c r="S125" s="622"/>
      <c r="T125" s="135"/>
      <c r="U125" s="135"/>
      <c r="V125" s="135"/>
      <c r="W125" s="135"/>
    </row>
    <row r="126" spans="1:23" x14ac:dyDescent="0.15">
      <c r="D126" s="620"/>
      <c r="E126" s="620"/>
      <c r="F126" s="620"/>
      <c r="G126" s="620"/>
      <c r="H126" s="620"/>
      <c r="I126" s="620"/>
      <c r="J126" s="620"/>
      <c r="K126" s="620"/>
      <c r="L126" s="620"/>
      <c r="M126" s="620"/>
      <c r="N126" s="620"/>
      <c r="O126" s="620"/>
      <c r="P126" s="620"/>
      <c r="Q126" s="621"/>
      <c r="R126" s="140"/>
      <c r="S126" s="622"/>
      <c r="T126" s="135"/>
      <c r="U126" s="135"/>
      <c r="V126" s="135"/>
      <c r="W126" s="135"/>
    </row>
    <row r="127" spans="1:23" x14ac:dyDescent="0.15">
      <c r="D127" s="620"/>
      <c r="E127" s="620"/>
      <c r="F127" s="620"/>
      <c r="G127" s="620"/>
      <c r="H127" s="620"/>
      <c r="I127" s="620"/>
      <c r="J127" s="620"/>
      <c r="K127" s="620"/>
      <c r="L127" s="620"/>
      <c r="M127" s="620"/>
      <c r="N127" s="620"/>
      <c r="O127" s="620"/>
      <c r="P127" s="620"/>
      <c r="Q127" s="621"/>
      <c r="R127" s="140"/>
      <c r="S127" s="622"/>
      <c r="T127" s="135"/>
      <c r="U127" s="135"/>
      <c r="V127" s="135"/>
      <c r="W127" s="135"/>
    </row>
    <row r="128" spans="1:23" x14ac:dyDescent="0.15">
      <c r="D128" s="620"/>
      <c r="E128" s="620"/>
      <c r="F128" s="620"/>
      <c r="G128" s="620"/>
      <c r="H128" s="620"/>
      <c r="I128" s="620"/>
      <c r="J128" s="620"/>
      <c r="K128" s="620"/>
      <c r="L128" s="620"/>
      <c r="M128" s="620"/>
      <c r="N128" s="620"/>
      <c r="O128" s="620"/>
      <c r="P128" s="620"/>
      <c r="Q128" s="621"/>
      <c r="R128" s="140"/>
      <c r="S128" s="622"/>
      <c r="T128" s="135"/>
      <c r="U128" s="135"/>
      <c r="V128" s="135"/>
      <c r="W128" s="135"/>
    </row>
    <row r="129" spans="4:23" x14ac:dyDescent="0.15">
      <c r="D129" s="620"/>
      <c r="E129" s="620"/>
      <c r="F129" s="620"/>
      <c r="G129" s="620"/>
      <c r="H129" s="620"/>
      <c r="I129" s="620"/>
      <c r="J129" s="620"/>
      <c r="K129" s="620"/>
      <c r="L129" s="620"/>
      <c r="M129" s="620"/>
      <c r="N129" s="620"/>
      <c r="O129" s="620"/>
      <c r="P129" s="620"/>
      <c r="Q129" s="621"/>
      <c r="R129" s="140"/>
      <c r="S129" s="622"/>
      <c r="T129" s="135"/>
      <c r="U129" s="135"/>
      <c r="V129" s="135"/>
      <c r="W129" s="135"/>
    </row>
    <row r="130" spans="4:23" x14ac:dyDescent="0.15">
      <c r="D130" s="620"/>
      <c r="E130" s="620"/>
      <c r="F130" s="620"/>
      <c r="G130" s="620"/>
      <c r="H130" s="620"/>
      <c r="I130" s="620"/>
      <c r="J130" s="620"/>
      <c r="K130" s="620"/>
      <c r="L130" s="620"/>
      <c r="M130" s="620"/>
      <c r="N130" s="620"/>
      <c r="O130" s="620"/>
      <c r="P130" s="620"/>
      <c r="Q130" s="621"/>
      <c r="R130" s="140"/>
      <c r="S130" s="622"/>
      <c r="T130" s="135"/>
      <c r="U130" s="135"/>
      <c r="V130" s="135"/>
      <c r="W130" s="135"/>
    </row>
    <row r="131" spans="4:23" x14ac:dyDescent="0.15">
      <c r="D131" s="620"/>
      <c r="E131" s="620"/>
      <c r="F131" s="620"/>
      <c r="G131" s="620"/>
      <c r="H131" s="620"/>
      <c r="I131" s="620"/>
      <c r="J131" s="620"/>
      <c r="K131" s="620"/>
      <c r="L131" s="620"/>
      <c r="M131" s="620"/>
      <c r="N131" s="620"/>
      <c r="O131" s="620"/>
      <c r="P131" s="620"/>
      <c r="Q131" s="621"/>
      <c r="R131" s="140"/>
      <c r="S131" s="622"/>
      <c r="T131" s="135"/>
      <c r="U131" s="135"/>
      <c r="V131" s="135"/>
      <c r="W131" s="135"/>
    </row>
    <row r="132" spans="4:23" x14ac:dyDescent="0.15">
      <c r="D132" s="620"/>
      <c r="E132" s="620"/>
      <c r="F132" s="620"/>
      <c r="G132" s="620"/>
      <c r="H132" s="620"/>
      <c r="I132" s="620"/>
      <c r="J132" s="620"/>
      <c r="K132" s="620"/>
      <c r="L132" s="620"/>
      <c r="M132" s="620"/>
      <c r="N132" s="620"/>
      <c r="O132" s="620"/>
      <c r="P132" s="620"/>
      <c r="Q132" s="621"/>
      <c r="R132" s="140"/>
      <c r="S132" s="622"/>
      <c r="T132" s="135"/>
      <c r="U132" s="135"/>
      <c r="V132" s="135"/>
      <c r="W132" s="135"/>
    </row>
    <row r="133" spans="4:23" x14ac:dyDescent="0.15">
      <c r="D133" s="620"/>
      <c r="E133" s="620"/>
      <c r="F133" s="620"/>
      <c r="G133" s="620"/>
      <c r="H133" s="620"/>
      <c r="I133" s="620"/>
      <c r="J133" s="620"/>
      <c r="K133" s="620"/>
      <c r="L133" s="620"/>
      <c r="M133" s="620"/>
      <c r="N133" s="620"/>
      <c r="O133" s="620"/>
      <c r="P133" s="620"/>
      <c r="Q133" s="621"/>
      <c r="R133" s="140"/>
      <c r="S133" s="622"/>
      <c r="T133" s="135"/>
      <c r="U133" s="135"/>
      <c r="V133" s="135"/>
      <c r="W133" s="135"/>
    </row>
    <row r="134" spans="4:23" x14ac:dyDescent="0.15">
      <c r="D134" s="620"/>
      <c r="E134" s="620"/>
      <c r="F134" s="620"/>
      <c r="G134" s="620"/>
      <c r="H134" s="620"/>
      <c r="I134" s="620"/>
      <c r="J134" s="620"/>
      <c r="K134" s="620"/>
      <c r="L134" s="620"/>
      <c r="M134" s="620"/>
      <c r="N134" s="620"/>
      <c r="O134" s="620"/>
      <c r="P134" s="620"/>
      <c r="Q134" s="621"/>
      <c r="R134" s="140"/>
      <c r="S134" s="622"/>
      <c r="T134" s="135"/>
      <c r="U134" s="135"/>
      <c r="V134" s="135"/>
      <c r="W134" s="135"/>
    </row>
    <row r="135" spans="4:23" x14ac:dyDescent="0.15">
      <c r="D135" s="620"/>
      <c r="E135" s="620"/>
      <c r="F135" s="620"/>
      <c r="G135" s="620"/>
      <c r="H135" s="620"/>
      <c r="I135" s="620"/>
      <c r="J135" s="620"/>
      <c r="K135" s="620"/>
      <c r="L135" s="620"/>
      <c r="M135" s="620"/>
      <c r="N135" s="620"/>
      <c r="O135" s="620"/>
      <c r="P135" s="620"/>
      <c r="Q135" s="621"/>
      <c r="R135" s="140"/>
      <c r="S135" s="622"/>
      <c r="T135" s="135"/>
      <c r="U135" s="135"/>
      <c r="V135" s="135"/>
      <c r="W135" s="135"/>
    </row>
    <row r="136" spans="4:23" x14ac:dyDescent="0.15">
      <c r="D136" s="620"/>
      <c r="E136" s="620"/>
      <c r="F136" s="620"/>
      <c r="G136" s="620"/>
      <c r="H136" s="620"/>
      <c r="I136" s="620"/>
      <c r="J136" s="620"/>
      <c r="K136" s="620"/>
      <c r="L136" s="620"/>
      <c r="M136" s="620"/>
      <c r="N136" s="620"/>
      <c r="O136" s="620"/>
      <c r="P136" s="620"/>
      <c r="Q136" s="621"/>
      <c r="R136" s="140"/>
      <c r="S136" s="622"/>
      <c r="T136" s="135"/>
      <c r="U136" s="135"/>
      <c r="V136" s="135"/>
      <c r="W136" s="135"/>
    </row>
    <row r="137" spans="4:23" x14ac:dyDescent="0.15">
      <c r="D137" s="620"/>
      <c r="E137" s="620"/>
      <c r="F137" s="620"/>
      <c r="G137" s="620"/>
      <c r="H137" s="620"/>
      <c r="I137" s="620"/>
      <c r="J137" s="620"/>
      <c r="K137" s="620"/>
      <c r="L137" s="620"/>
      <c r="M137" s="620"/>
      <c r="N137" s="620"/>
      <c r="O137" s="620"/>
      <c r="P137" s="620"/>
      <c r="Q137" s="621"/>
      <c r="R137" s="140"/>
      <c r="S137" s="622"/>
      <c r="T137" s="135"/>
      <c r="U137" s="135"/>
      <c r="V137" s="135"/>
      <c r="W137" s="135"/>
    </row>
    <row r="138" spans="4:23" x14ac:dyDescent="0.15">
      <c r="D138" s="620"/>
      <c r="E138" s="620"/>
      <c r="F138" s="620"/>
      <c r="G138" s="620"/>
      <c r="H138" s="620"/>
      <c r="I138" s="620"/>
      <c r="J138" s="620"/>
      <c r="K138" s="620"/>
      <c r="L138" s="620"/>
      <c r="M138" s="620"/>
      <c r="N138" s="620"/>
      <c r="O138" s="620"/>
      <c r="P138" s="620"/>
      <c r="Q138" s="621"/>
      <c r="R138" s="140"/>
      <c r="S138" s="622"/>
      <c r="T138" s="135"/>
      <c r="U138" s="135"/>
      <c r="V138" s="135"/>
      <c r="W138" s="135"/>
    </row>
    <row r="139" spans="4:23" x14ac:dyDescent="0.15">
      <c r="D139" s="620"/>
      <c r="E139" s="620"/>
      <c r="F139" s="620"/>
      <c r="G139" s="620"/>
      <c r="H139" s="620"/>
      <c r="I139" s="620"/>
      <c r="J139" s="620"/>
      <c r="K139" s="620"/>
      <c r="L139" s="620"/>
      <c r="M139" s="620"/>
      <c r="N139" s="620"/>
      <c r="O139" s="620"/>
      <c r="P139" s="620"/>
      <c r="Q139" s="621"/>
      <c r="R139" s="140"/>
      <c r="S139" s="622"/>
      <c r="T139" s="135"/>
      <c r="U139" s="135"/>
      <c r="V139" s="135"/>
      <c r="W139" s="135"/>
    </row>
    <row r="140" spans="4:23" x14ac:dyDescent="0.15">
      <c r="D140" s="620"/>
      <c r="E140" s="620"/>
      <c r="F140" s="620"/>
      <c r="G140" s="620"/>
      <c r="H140" s="620"/>
      <c r="I140" s="620"/>
      <c r="J140" s="620"/>
      <c r="K140" s="620"/>
      <c r="L140" s="620"/>
      <c r="M140" s="620"/>
      <c r="N140" s="620"/>
      <c r="O140" s="620"/>
      <c r="P140" s="620"/>
      <c r="Q140" s="621"/>
      <c r="R140" s="140"/>
      <c r="S140" s="622"/>
      <c r="T140" s="135"/>
      <c r="U140" s="135"/>
      <c r="V140" s="135"/>
      <c r="W140" s="135"/>
    </row>
    <row r="141" spans="4:23" x14ac:dyDescent="0.15">
      <c r="D141" s="620"/>
      <c r="E141" s="620"/>
      <c r="F141" s="620"/>
      <c r="G141" s="620"/>
      <c r="H141" s="620"/>
      <c r="I141" s="620"/>
      <c r="J141" s="620"/>
      <c r="K141" s="620"/>
      <c r="L141" s="620"/>
      <c r="M141" s="620"/>
      <c r="N141" s="620"/>
      <c r="O141" s="620"/>
      <c r="P141" s="620"/>
      <c r="Q141" s="621"/>
      <c r="R141" s="140"/>
      <c r="S141" s="622"/>
      <c r="T141" s="135"/>
      <c r="U141" s="135"/>
      <c r="V141" s="135"/>
      <c r="W141" s="135"/>
    </row>
    <row r="142" spans="4:23" x14ac:dyDescent="0.15">
      <c r="D142" s="620"/>
      <c r="E142" s="620"/>
      <c r="F142" s="620"/>
      <c r="G142" s="620"/>
      <c r="H142" s="620"/>
      <c r="I142" s="620"/>
      <c r="J142" s="620"/>
      <c r="K142" s="620"/>
      <c r="L142" s="620"/>
      <c r="M142" s="620"/>
      <c r="N142" s="620"/>
      <c r="O142" s="620"/>
      <c r="P142" s="620"/>
      <c r="Q142" s="621"/>
      <c r="R142" s="140"/>
      <c r="S142" s="622"/>
      <c r="T142" s="135"/>
      <c r="U142" s="135"/>
      <c r="V142" s="135"/>
      <c r="W142" s="135"/>
    </row>
    <row r="143" spans="4:23" x14ac:dyDescent="0.15">
      <c r="D143" s="620"/>
      <c r="E143" s="620"/>
      <c r="F143" s="620"/>
      <c r="G143" s="620"/>
      <c r="H143" s="620"/>
      <c r="I143" s="620"/>
      <c r="J143" s="620"/>
      <c r="K143" s="620"/>
      <c r="L143" s="620"/>
      <c r="M143" s="620"/>
      <c r="N143" s="620"/>
      <c r="O143" s="620"/>
      <c r="P143" s="620"/>
      <c r="Q143" s="621"/>
      <c r="R143" s="140"/>
      <c r="S143" s="622"/>
      <c r="T143" s="135"/>
      <c r="U143" s="135"/>
      <c r="V143" s="135"/>
      <c r="W143" s="135"/>
    </row>
    <row r="144" spans="4:23" x14ac:dyDescent="0.15">
      <c r="D144" s="620"/>
      <c r="E144" s="620"/>
      <c r="F144" s="620"/>
      <c r="G144" s="620"/>
      <c r="H144" s="620"/>
      <c r="I144" s="620"/>
      <c r="J144" s="620"/>
      <c r="K144" s="620"/>
      <c r="L144" s="620"/>
      <c r="M144" s="620"/>
      <c r="N144" s="620"/>
      <c r="O144" s="620"/>
      <c r="P144" s="620"/>
      <c r="Q144" s="621"/>
      <c r="R144" s="140"/>
      <c r="S144" s="622"/>
      <c r="T144" s="135"/>
      <c r="U144" s="135"/>
      <c r="V144" s="135"/>
      <c r="W144" s="135"/>
    </row>
    <row r="145" spans="4:23" x14ac:dyDescent="0.15">
      <c r="D145" s="620"/>
      <c r="E145" s="620"/>
      <c r="F145" s="620"/>
      <c r="G145" s="620"/>
      <c r="H145" s="620"/>
      <c r="I145" s="620"/>
      <c r="J145" s="620"/>
      <c r="K145" s="620"/>
      <c r="L145" s="620"/>
      <c r="M145" s="620"/>
      <c r="N145" s="620"/>
      <c r="O145" s="620"/>
      <c r="P145" s="620"/>
      <c r="Q145" s="621"/>
      <c r="R145" s="140"/>
      <c r="S145" s="622"/>
      <c r="T145" s="135"/>
      <c r="U145" s="135"/>
      <c r="V145" s="135"/>
      <c r="W145" s="135"/>
    </row>
    <row r="146" spans="4:23" x14ac:dyDescent="0.15">
      <c r="D146" s="623"/>
      <c r="E146" s="623"/>
      <c r="F146" s="623"/>
      <c r="G146" s="623"/>
      <c r="H146" s="623"/>
      <c r="I146" s="623"/>
      <c r="J146" s="623"/>
      <c r="K146" s="623"/>
      <c r="L146" s="623"/>
      <c r="M146" s="623"/>
      <c r="N146" s="623"/>
      <c r="O146" s="623"/>
      <c r="P146" s="623"/>
      <c r="Q146" s="138"/>
      <c r="R146" s="140"/>
      <c r="S146" s="624"/>
      <c r="T146" s="135"/>
      <c r="U146" s="135"/>
      <c r="V146" s="135"/>
      <c r="W146" s="135"/>
    </row>
    <row r="147" spans="4:23" x14ac:dyDescent="0.15">
      <c r="D147" s="623"/>
      <c r="E147" s="623"/>
      <c r="F147" s="623"/>
      <c r="G147" s="623"/>
      <c r="H147" s="623"/>
      <c r="I147" s="623"/>
      <c r="J147" s="623"/>
      <c r="K147" s="623"/>
      <c r="L147" s="623"/>
      <c r="M147" s="623"/>
      <c r="N147" s="623"/>
      <c r="O147" s="623"/>
      <c r="P147" s="623"/>
      <c r="Q147" s="138"/>
      <c r="R147" s="140"/>
      <c r="S147" s="624"/>
      <c r="T147" s="135"/>
      <c r="U147" s="135"/>
      <c r="V147" s="135"/>
      <c r="W147" s="135"/>
    </row>
    <row r="148" spans="4:23" x14ac:dyDescent="0.15">
      <c r="D148" s="620"/>
      <c r="E148" s="620"/>
      <c r="F148" s="620"/>
      <c r="G148" s="620"/>
      <c r="H148" s="620"/>
      <c r="I148" s="620"/>
      <c r="J148" s="620"/>
      <c r="K148" s="620"/>
      <c r="L148" s="620"/>
      <c r="M148" s="620"/>
      <c r="N148" s="620"/>
      <c r="O148" s="620"/>
      <c r="P148" s="620"/>
      <c r="Q148" s="621"/>
      <c r="R148" s="140"/>
      <c r="S148" s="622"/>
      <c r="T148" s="135"/>
      <c r="U148" s="135"/>
      <c r="V148" s="135"/>
      <c r="W148" s="135"/>
    </row>
    <row r="149" spans="4:23" x14ac:dyDescent="0.15">
      <c r="D149" s="620"/>
      <c r="E149" s="620"/>
      <c r="F149" s="620"/>
      <c r="G149" s="620"/>
      <c r="H149" s="620"/>
      <c r="I149" s="620"/>
      <c r="J149" s="620"/>
      <c r="K149" s="620"/>
      <c r="L149" s="620"/>
      <c r="M149" s="620"/>
      <c r="N149" s="620"/>
      <c r="O149" s="620"/>
      <c r="P149" s="620"/>
      <c r="Q149" s="621"/>
      <c r="R149" s="140"/>
      <c r="S149" s="622"/>
      <c r="T149" s="135"/>
      <c r="U149" s="135"/>
      <c r="V149" s="135"/>
      <c r="W149" s="135"/>
    </row>
    <row r="150" spans="4:23" x14ac:dyDescent="0.15">
      <c r="D150" s="620"/>
      <c r="E150" s="620"/>
      <c r="F150" s="620"/>
      <c r="G150" s="620"/>
      <c r="H150" s="620"/>
      <c r="I150" s="620"/>
      <c r="J150" s="620"/>
      <c r="K150" s="620"/>
      <c r="L150" s="620"/>
      <c r="M150" s="620"/>
      <c r="N150" s="620"/>
      <c r="O150" s="620"/>
      <c r="P150" s="620"/>
      <c r="Q150" s="621"/>
      <c r="R150" s="140"/>
      <c r="S150" s="622"/>
      <c r="T150" s="135"/>
      <c r="U150" s="135"/>
      <c r="V150" s="135"/>
      <c r="W150" s="135"/>
    </row>
    <row r="151" spans="4:23" x14ac:dyDescent="0.15">
      <c r="D151" s="620"/>
      <c r="E151" s="620"/>
      <c r="F151" s="620"/>
      <c r="G151" s="620"/>
      <c r="H151" s="620"/>
      <c r="I151" s="620"/>
      <c r="J151" s="620"/>
      <c r="K151" s="620"/>
      <c r="L151" s="620"/>
      <c r="M151" s="620"/>
      <c r="N151" s="620"/>
      <c r="O151" s="620"/>
      <c r="P151" s="620"/>
      <c r="Q151" s="621"/>
      <c r="R151" s="140"/>
      <c r="S151" s="622"/>
      <c r="T151" s="135"/>
      <c r="U151" s="135"/>
      <c r="V151" s="135"/>
      <c r="W151" s="135"/>
    </row>
    <row r="152" spans="4:23" x14ac:dyDescent="0.15">
      <c r="D152" s="620"/>
      <c r="E152" s="620"/>
      <c r="F152" s="620"/>
      <c r="G152" s="620"/>
      <c r="H152" s="620"/>
      <c r="I152" s="620"/>
      <c r="J152" s="620"/>
      <c r="K152" s="620"/>
      <c r="L152" s="620"/>
      <c r="M152" s="620"/>
      <c r="N152" s="620"/>
      <c r="O152" s="620"/>
      <c r="P152" s="620"/>
      <c r="Q152" s="621"/>
      <c r="R152" s="140"/>
      <c r="S152" s="622"/>
      <c r="T152" s="135"/>
      <c r="U152" s="135"/>
      <c r="V152" s="135"/>
      <c r="W152" s="135"/>
    </row>
    <row r="153" spans="4:23" x14ac:dyDescent="0.15">
      <c r="D153" s="620"/>
      <c r="E153" s="620"/>
      <c r="F153" s="620"/>
      <c r="G153" s="620"/>
      <c r="H153" s="620"/>
      <c r="I153" s="620"/>
      <c r="J153" s="620"/>
      <c r="K153" s="620"/>
      <c r="L153" s="620"/>
      <c r="M153" s="620"/>
      <c r="N153" s="620"/>
      <c r="O153" s="620"/>
      <c r="P153" s="620"/>
      <c r="Q153" s="621"/>
      <c r="R153" s="140"/>
      <c r="S153" s="622"/>
      <c r="T153" s="135"/>
      <c r="U153" s="135"/>
      <c r="V153" s="135"/>
      <c r="W153" s="135"/>
    </row>
    <row r="154" spans="4:23" x14ac:dyDescent="0.15">
      <c r="D154" s="135"/>
      <c r="E154" s="135"/>
      <c r="F154" s="135"/>
      <c r="G154" s="135"/>
      <c r="H154" s="135"/>
      <c r="I154" s="135"/>
      <c r="J154" s="135"/>
      <c r="K154" s="135"/>
      <c r="L154" s="136"/>
      <c r="M154" s="136"/>
      <c r="N154" s="136"/>
      <c r="O154" s="136"/>
      <c r="P154" s="136"/>
      <c r="Q154" s="135"/>
      <c r="R154" s="135"/>
      <c r="S154" s="135"/>
      <c r="T154" s="135"/>
      <c r="U154" s="135"/>
      <c r="V154" s="135"/>
      <c r="W154" s="135"/>
    </row>
    <row r="155" spans="4:23" x14ac:dyDescent="0.15">
      <c r="D155" s="135"/>
      <c r="E155" s="135"/>
      <c r="F155" s="135"/>
      <c r="G155" s="135"/>
      <c r="H155" s="135"/>
      <c r="I155" s="135"/>
      <c r="J155" s="135"/>
      <c r="K155" s="135"/>
      <c r="L155" s="136"/>
      <c r="M155" s="136"/>
      <c r="N155" s="136"/>
      <c r="O155" s="136"/>
      <c r="P155" s="136"/>
      <c r="Q155" s="135"/>
      <c r="R155" s="135"/>
      <c r="S155" s="135"/>
      <c r="T155" s="135"/>
      <c r="U155" s="135"/>
      <c r="V155" s="135"/>
      <c r="W155" s="135"/>
    </row>
  </sheetData>
  <sheetProtection algorithmName="SHA-512" hashValue="OdsVmRLQzp2nV+pTIRDJOkP4WzdgR2M6Td97LJi/M1wbCW2haFi7szvyPEy1BQAYYKCC3xehHLJxxwnHRizSlQ==" saltValue="HTr8oj2aUMSr4kffbKB6jw==" spinCount="100000" sheet="1" objects="1" scenarios="1"/>
  <pageMargins left="0.7" right="0.7" top="0.75" bottom="0.75" header="0.3" footer="0.3"/>
  <pageSetup paperSize="9" scale="57" fitToHeight="5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79EBB-A536-0F41-AB40-41CE100F7332}">
  <dimension ref="A1:AI204"/>
  <sheetViews>
    <sheetView workbookViewId="0">
      <pane ySplit="1" topLeftCell="A4" activePane="bottomLeft" state="frozen"/>
      <selection pane="bottomLeft" activeCell="C1" sqref="C1:C1048576"/>
    </sheetView>
  </sheetViews>
  <sheetFormatPr baseColWidth="10" defaultRowHeight="14" x14ac:dyDescent="0.15"/>
  <cols>
    <col min="1" max="1" width="27.6640625" style="581" customWidth="1"/>
    <col min="2" max="2" width="12.83203125" style="581" bestFit="1" customWidth="1"/>
    <col min="3" max="3" width="12.83203125" style="581" hidden="1" customWidth="1"/>
    <col min="4" max="11" width="9.1640625" style="581" bestFit="1" customWidth="1"/>
    <col min="12" max="33" width="9.1640625" style="581" customWidth="1"/>
    <col min="34" max="16384" width="10.83203125" style="581"/>
  </cols>
  <sheetData>
    <row r="1" spans="1:35" s="1" customFormat="1" ht="16" thickBot="1" x14ac:dyDescent="0.2">
      <c r="A1" s="37" t="s">
        <v>132</v>
      </c>
      <c r="B1" s="37"/>
      <c r="C1" s="231"/>
      <c r="D1" s="5" t="s">
        <v>530</v>
      </c>
      <c r="E1" s="6" t="s">
        <v>531</v>
      </c>
      <c r="F1" s="5" t="s">
        <v>532</v>
      </c>
      <c r="G1" s="6" t="s">
        <v>533</v>
      </c>
      <c r="H1" s="5" t="s">
        <v>534</v>
      </c>
      <c r="I1" s="6" t="s">
        <v>535</v>
      </c>
      <c r="J1" s="5" t="s">
        <v>536</v>
      </c>
      <c r="K1" s="6" t="s">
        <v>537</v>
      </c>
      <c r="L1" s="5" t="s">
        <v>538</v>
      </c>
      <c r="M1" s="6" t="s">
        <v>539</v>
      </c>
      <c r="N1" s="5" t="s">
        <v>130</v>
      </c>
      <c r="O1" s="6" t="s">
        <v>131</v>
      </c>
      <c r="P1" s="5" t="s">
        <v>192</v>
      </c>
      <c r="Q1" s="6" t="s">
        <v>193</v>
      </c>
      <c r="R1" s="5" t="s">
        <v>230</v>
      </c>
      <c r="S1" s="6" t="s">
        <v>231</v>
      </c>
      <c r="T1" s="5" t="s">
        <v>232</v>
      </c>
      <c r="U1" s="6" t="s">
        <v>233</v>
      </c>
      <c r="V1" s="5" t="s">
        <v>234</v>
      </c>
      <c r="W1" s="6" t="s">
        <v>235</v>
      </c>
      <c r="X1" s="5" t="s">
        <v>236</v>
      </c>
      <c r="Y1" s="6" t="s">
        <v>237</v>
      </c>
      <c r="Z1" s="5" t="s">
        <v>238</v>
      </c>
      <c r="AA1" s="6" t="s">
        <v>239</v>
      </c>
      <c r="AB1" s="5" t="s">
        <v>240</v>
      </c>
      <c r="AC1" s="6" t="s">
        <v>241</v>
      </c>
      <c r="AD1" s="5" t="s">
        <v>242</v>
      </c>
      <c r="AE1" s="6" t="s">
        <v>243</v>
      </c>
      <c r="AF1" s="5" t="s">
        <v>244</v>
      </c>
      <c r="AG1" s="6" t="s">
        <v>245</v>
      </c>
      <c r="AH1" s="5" t="s">
        <v>540</v>
      </c>
      <c r="AI1" s="6" t="s">
        <v>541</v>
      </c>
    </row>
    <row r="2" spans="1:35" s="1" customFormat="1" ht="15" thickBot="1" x14ac:dyDescent="0.2">
      <c r="A2" s="222" t="s">
        <v>1</v>
      </c>
      <c r="B2" s="223"/>
      <c r="C2" s="223" t="s">
        <v>291</v>
      </c>
      <c r="D2" s="227">
        <f>SUM(D3:D4)</f>
        <v>8258</v>
      </c>
      <c r="E2" s="225">
        <f>SUM(E3:E4)</f>
        <v>8258</v>
      </c>
      <c r="F2" s="224">
        <f t="shared" ref="F2:U2" si="0">SUM(F3:F4)</f>
        <v>9000</v>
      </c>
      <c r="G2" s="225">
        <f t="shared" si="0"/>
        <v>6547</v>
      </c>
      <c r="H2" s="224">
        <f t="shared" si="0"/>
        <v>6723</v>
      </c>
      <c r="I2" s="225">
        <f t="shared" si="0"/>
        <v>9916</v>
      </c>
      <c r="J2" s="224">
        <f t="shared" si="0"/>
        <v>2987</v>
      </c>
      <c r="K2" s="225">
        <f t="shared" si="0"/>
        <v>8476</v>
      </c>
      <c r="L2" s="224">
        <f t="shared" si="0"/>
        <v>5309</v>
      </c>
      <c r="M2" s="225">
        <f t="shared" si="0"/>
        <v>6017</v>
      </c>
      <c r="N2" s="224">
        <f t="shared" si="0"/>
        <v>5825</v>
      </c>
      <c r="O2" s="225">
        <f t="shared" si="0"/>
        <v>4915</v>
      </c>
      <c r="P2" s="224">
        <f t="shared" si="0"/>
        <v>5777</v>
      </c>
      <c r="Q2" s="225">
        <f t="shared" si="0"/>
        <v>4273</v>
      </c>
      <c r="R2" s="224">
        <f t="shared" si="0"/>
        <v>6026</v>
      </c>
      <c r="S2" s="225">
        <f t="shared" si="0"/>
        <v>5308</v>
      </c>
      <c r="T2" s="471">
        <f t="shared" si="0"/>
        <v>4998</v>
      </c>
      <c r="U2" s="470">
        <f t="shared" si="0"/>
        <v>3375</v>
      </c>
      <c r="V2" s="471">
        <f t="shared" ref="V2:AG2" si="1">SUM(V3:V4)</f>
        <v>0</v>
      </c>
      <c r="W2" s="470">
        <f t="shared" si="1"/>
        <v>0</v>
      </c>
      <c r="X2" s="471">
        <f t="shared" si="1"/>
        <v>0</v>
      </c>
      <c r="Y2" s="470">
        <f t="shared" si="1"/>
        <v>0</v>
      </c>
      <c r="Z2" s="471">
        <f t="shared" si="1"/>
        <v>0</v>
      </c>
      <c r="AA2" s="470">
        <f t="shared" si="1"/>
        <v>0</v>
      </c>
      <c r="AB2" s="471">
        <f t="shared" si="1"/>
        <v>0</v>
      </c>
      <c r="AC2" s="470">
        <f t="shared" si="1"/>
        <v>0</v>
      </c>
      <c r="AD2" s="471">
        <f t="shared" si="1"/>
        <v>0</v>
      </c>
      <c r="AE2" s="470">
        <f t="shared" si="1"/>
        <v>0</v>
      </c>
      <c r="AF2" s="471">
        <f t="shared" si="1"/>
        <v>0</v>
      </c>
      <c r="AG2" s="470">
        <f t="shared" si="1"/>
        <v>0</v>
      </c>
    </row>
    <row r="3" spans="1:35" s="1" customFormat="1" x14ac:dyDescent="0.15">
      <c r="A3" s="407" t="s">
        <v>542</v>
      </c>
      <c r="B3" s="10"/>
      <c r="C3" s="10" t="s">
        <v>543</v>
      </c>
      <c r="D3" s="641">
        <v>8258</v>
      </c>
      <c r="E3" s="642">
        <v>8258</v>
      </c>
      <c r="F3" s="254">
        <v>9000</v>
      </c>
      <c r="G3" s="255">
        <v>6547</v>
      </c>
      <c r="H3" s="254">
        <v>6723</v>
      </c>
      <c r="I3" s="255">
        <v>9916</v>
      </c>
      <c r="J3" s="254">
        <v>2987</v>
      </c>
      <c r="K3" s="255">
        <v>8476</v>
      </c>
      <c r="L3" s="254">
        <v>5309</v>
      </c>
      <c r="M3" s="255">
        <v>6017</v>
      </c>
      <c r="N3" s="254">
        <v>5825</v>
      </c>
      <c r="O3" s="255">
        <v>4915</v>
      </c>
      <c r="P3" s="254">
        <v>5777</v>
      </c>
      <c r="Q3" s="255">
        <v>4273</v>
      </c>
      <c r="R3" s="254">
        <v>6026</v>
      </c>
      <c r="S3" s="255">
        <v>5308</v>
      </c>
      <c r="T3" s="183">
        <v>4998</v>
      </c>
      <c r="U3" s="184">
        <v>3375</v>
      </c>
      <c r="V3" s="221">
        <v>0</v>
      </c>
      <c r="W3" s="184">
        <v>0</v>
      </c>
      <c r="X3" s="221">
        <v>0</v>
      </c>
      <c r="Y3" s="184">
        <v>0</v>
      </c>
      <c r="Z3" s="221">
        <v>0</v>
      </c>
      <c r="AA3" s="184">
        <v>0</v>
      </c>
      <c r="AB3" s="221">
        <v>0</v>
      </c>
      <c r="AC3" s="184">
        <v>0</v>
      </c>
      <c r="AD3" s="221">
        <v>0</v>
      </c>
      <c r="AE3" s="184">
        <v>0</v>
      </c>
      <c r="AF3" s="221">
        <v>0</v>
      </c>
      <c r="AG3" s="184">
        <v>0</v>
      </c>
    </row>
    <row r="4" spans="1:35" s="1" customFormat="1" x14ac:dyDescent="0.15">
      <c r="A4" s="407"/>
      <c r="B4" s="10"/>
      <c r="C4" s="10"/>
      <c r="D4" s="221">
        <v>0</v>
      </c>
      <c r="E4" s="184">
        <v>0</v>
      </c>
      <c r="F4" s="221">
        <v>0</v>
      </c>
      <c r="G4" s="184">
        <v>0</v>
      </c>
      <c r="H4" s="221">
        <v>0</v>
      </c>
      <c r="I4" s="184">
        <v>0</v>
      </c>
      <c r="J4" s="221">
        <v>0</v>
      </c>
      <c r="K4" s="184">
        <v>0</v>
      </c>
      <c r="L4" s="221">
        <v>0</v>
      </c>
      <c r="M4" s="184">
        <v>0</v>
      </c>
      <c r="N4" s="221">
        <v>0</v>
      </c>
      <c r="O4" s="184">
        <v>0</v>
      </c>
      <c r="P4" s="221">
        <v>0</v>
      </c>
      <c r="Q4" s="184">
        <v>0</v>
      </c>
      <c r="R4" s="221">
        <v>0</v>
      </c>
      <c r="S4" s="184">
        <v>0</v>
      </c>
      <c r="T4" s="221">
        <v>0</v>
      </c>
      <c r="U4" s="184">
        <v>0</v>
      </c>
      <c r="V4" s="221">
        <v>0</v>
      </c>
      <c r="W4" s="184">
        <v>0</v>
      </c>
      <c r="X4" s="221">
        <v>0</v>
      </c>
      <c r="Y4" s="184">
        <v>0</v>
      </c>
      <c r="Z4" s="221">
        <v>0</v>
      </c>
      <c r="AA4" s="184">
        <v>0</v>
      </c>
      <c r="AB4" s="221">
        <v>0</v>
      </c>
      <c r="AC4" s="184">
        <v>0</v>
      </c>
      <c r="AD4" s="221">
        <v>0</v>
      </c>
      <c r="AE4" s="184">
        <v>0</v>
      </c>
      <c r="AF4" s="221">
        <v>0</v>
      </c>
      <c r="AG4" s="184">
        <v>0</v>
      </c>
    </row>
    <row r="5" spans="1:35" s="1" customFormat="1" ht="14" customHeight="1" x14ac:dyDescent="0.15">
      <c r="A5" s="33" t="s">
        <v>116</v>
      </c>
      <c r="B5" s="32" t="s">
        <v>31</v>
      </c>
      <c r="C5" s="32" t="s">
        <v>412</v>
      </c>
      <c r="D5" s="35">
        <f t="shared" ref="D5:U5" si="2">SUM(D7:D15)</f>
        <v>200185</v>
      </c>
      <c r="E5" s="34">
        <f t="shared" si="2"/>
        <v>200185</v>
      </c>
      <c r="F5" s="35">
        <f t="shared" si="2"/>
        <v>195282</v>
      </c>
      <c r="G5" s="34">
        <f t="shared" si="2"/>
        <v>166586</v>
      </c>
      <c r="H5" s="35">
        <f t="shared" si="2"/>
        <v>166399</v>
      </c>
      <c r="I5" s="34">
        <f t="shared" si="2"/>
        <v>197540</v>
      </c>
      <c r="J5" s="35">
        <f t="shared" si="2"/>
        <v>248795</v>
      </c>
      <c r="K5" s="34">
        <f t="shared" si="2"/>
        <v>263573</v>
      </c>
      <c r="L5" s="35">
        <f t="shared" si="2"/>
        <v>282651.60000000003</v>
      </c>
      <c r="M5" s="34">
        <f t="shared" si="2"/>
        <v>255652.70000000004</v>
      </c>
      <c r="N5" s="35">
        <f t="shared" si="2"/>
        <v>277889.45</v>
      </c>
      <c r="O5" s="34">
        <f t="shared" si="2"/>
        <v>266198.55</v>
      </c>
      <c r="P5" s="35">
        <f t="shared" si="2"/>
        <v>264709.15000000002</v>
      </c>
      <c r="Q5" s="34">
        <f t="shared" si="2"/>
        <v>280676</v>
      </c>
      <c r="R5" s="35">
        <f t="shared" si="2"/>
        <v>286510</v>
      </c>
      <c r="S5" s="34">
        <f t="shared" si="2"/>
        <v>282153.39999999997</v>
      </c>
      <c r="T5" s="35">
        <f>SUM(T7:T15)</f>
        <v>310160.2</v>
      </c>
      <c r="U5" s="34">
        <f t="shared" si="2"/>
        <v>302410.69999999995</v>
      </c>
      <c r="V5" s="35">
        <f t="shared" ref="V5:W5" si="3">SUM(V7:V15)</f>
        <v>0</v>
      </c>
      <c r="W5" s="34">
        <f t="shared" si="3"/>
        <v>0</v>
      </c>
      <c r="X5" s="35">
        <f t="shared" ref="X5:AG5" si="4">SUM(X7:X15)</f>
        <v>0</v>
      </c>
      <c r="Y5" s="34">
        <f t="shared" si="4"/>
        <v>0</v>
      </c>
      <c r="Z5" s="35">
        <f t="shared" si="4"/>
        <v>0</v>
      </c>
      <c r="AA5" s="34">
        <f t="shared" si="4"/>
        <v>0</v>
      </c>
      <c r="AB5" s="35">
        <f t="shared" si="4"/>
        <v>0</v>
      </c>
      <c r="AC5" s="34">
        <f t="shared" si="4"/>
        <v>0</v>
      </c>
      <c r="AD5" s="35">
        <f t="shared" si="4"/>
        <v>0</v>
      </c>
      <c r="AE5" s="34">
        <f t="shared" si="4"/>
        <v>0</v>
      </c>
      <c r="AF5" s="35">
        <f t="shared" si="4"/>
        <v>0</v>
      </c>
      <c r="AG5" s="34">
        <f t="shared" si="4"/>
        <v>0</v>
      </c>
    </row>
    <row r="6" spans="1:35" s="1" customFormat="1" x14ac:dyDescent="0.15">
      <c r="A6" s="30"/>
      <c r="B6" s="409" t="s">
        <v>413</v>
      </c>
      <c r="C6" s="409" t="s">
        <v>414</v>
      </c>
      <c r="D6" s="410">
        <f>SUM(D7:D12)</f>
        <v>200185</v>
      </c>
      <c r="E6" s="410">
        <f>SUM(E7:E12)</f>
        <v>200185</v>
      </c>
      <c r="F6" s="411">
        <f t="shared" ref="F6:AG6" si="5">SUM(F7:F12)</f>
        <v>195282</v>
      </c>
      <c r="G6" s="410">
        <f t="shared" si="5"/>
        <v>166586</v>
      </c>
      <c r="H6" s="411">
        <f t="shared" si="5"/>
        <v>166399</v>
      </c>
      <c r="I6" s="410">
        <f t="shared" si="5"/>
        <v>197540</v>
      </c>
      <c r="J6" s="411">
        <f t="shared" si="5"/>
        <v>248795</v>
      </c>
      <c r="K6" s="410">
        <f t="shared" si="5"/>
        <v>263573</v>
      </c>
      <c r="L6" s="411">
        <f t="shared" si="5"/>
        <v>282651.60000000003</v>
      </c>
      <c r="M6" s="410">
        <f t="shared" si="5"/>
        <v>255652.70000000004</v>
      </c>
      <c r="N6" s="411">
        <f t="shared" si="5"/>
        <v>277889.45</v>
      </c>
      <c r="O6" s="410">
        <f t="shared" si="5"/>
        <v>266198.55</v>
      </c>
      <c r="P6" s="411">
        <f t="shared" si="5"/>
        <v>264709.15000000002</v>
      </c>
      <c r="Q6" s="410">
        <f t="shared" si="5"/>
        <v>280676</v>
      </c>
      <c r="R6" s="411">
        <f t="shared" si="5"/>
        <v>286510</v>
      </c>
      <c r="S6" s="410">
        <f t="shared" si="5"/>
        <v>282153.39999999997</v>
      </c>
      <c r="T6" s="411">
        <f t="shared" si="5"/>
        <v>310160.2</v>
      </c>
      <c r="U6" s="410">
        <f t="shared" si="5"/>
        <v>302410.69999999995</v>
      </c>
      <c r="V6" s="411">
        <f t="shared" si="5"/>
        <v>0</v>
      </c>
      <c r="W6" s="410">
        <f t="shared" si="5"/>
        <v>0</v>
      </c>
      <c r="X6" s="411">
        <f t="shared" si="5"/>
        <v>0</v>
      </c>
      <c r="Y6" s="410">
        <f t="shared" si="5"/>
        <v>0</v>
      </c>
      <c r="Z6" s="411">
        <f t="shared" si="5"/>
        <v>0</v>
      </c>
      <c r="AA6" s="410">
        <f t="shared" si="5"/>
        <v>0</v>
      </c>
      <c r="AB6" s="411">
        <f t="shared" si="5"/>
        <v>0</v>
      </c>
      <c r="AC6" s="410">
        <f t="shared" si="5"/>
        <v>0</v>
      </c>
      <c r="AD6" s="411">
        <f t="shared" si="5"/>
        <v>0</v>
      </c>
      <c r="AE6" s="410">
        <f t="shared" si="5"/>
        <v>0</v>
      </c>
      <c r="AF6" s="411">
        <f t="shared" si="5"/>
        <v>0</v>
      </c>
      <c r="AG6" s="412">
        <f t="shared" si="5"/>
        <v>0</v>
      </c>
      <c r="AH6" s="8"/>
    </row>
    <row r="7" spans="1:35" s="1" customFormat="1" ht="15" x14ac:dyDescent="0.15">
      <c r="A7" s="30" t="s">
        <v>115</v>
      </c>
      <c r="B7" s="10" t="s">
        <v>14</v>
      </c>
      <c r="C7" s="10" t="s">
        <v>406</v>
      </c>
      <c r="D7" s="183">
        <v>200185</v>
      </c>
      <c r="E7" s="184">
        <v>200185</v>
      </c>
      <c r="F7" s="183">
        <v>78213</v>
      </c>
      <c r="G7" s="184">
        <v>49517</v>
      </c>
      <c r="H7" s="183">
        <v>28115</v>
      </c>
      <c r="I7" s="184">
        <v>59256</v>
      </c>
      <c r="J7" s="183">
        <v>38903</v>
      </c>
      <c r="K7" s="184">
        <v>52353</v>
      </c>
      <c r="L7" s="183">
        <f>195702.4-L8-L9</f>
        <v>49204.300000000017</v>
      </c>
      <c r="M7" s="184">
        <f>187492.1-M8-M9</f>
        <v>40994.000000000029</v>
      </c>
      <c r="N7" s="183">
        <v>58717.8</v>
      </c>
      <c r="O7" s="184">
        <v>48489.5</v>
      </c>
      <c r="P7" s="183">
        <v>51010.75</v>
      </c>
      <c r="Q7" s="184">
        <v>60800.6</v>
      </c>
      <c r="R7" s="183">
        <f>171148-R9</f>
        <v>72776.600000000006</v>
      </c>
      <c r="S7" s="184">
        <f>180136.3-S9</f>
        <v>81764.899999999994</v>
      </c>
      <c r="T7" s="183">
        <f>106738.3-T8</f>
        <v>50268.800000000003</v>
      </c>
      <c r="U7" s="184">
        <f>97168.4-U8</f>
        <v>40698.899999999994</v>
      </c>
      <c r="V7" s="183">
        <v>0</v>
      </c>
      <c r="W7" s="184">
        <v>0</v>
      </c>
      <c r="X7" s="183">
        <v>0</v>
      </c>
      <c r="Y7" s="184">
        <v>0</v>
      </c>
      <c r="Z7" s="183">
        <v>0</v>
      </c>
      <c r="AA7" s="184">
        <v>0</v>
      </c>
      <c r="AB7" s="183">
        <v>0</v>
      </c>
      <c r="AC7" s="184">
        <v>0</v>
      </c>
      <c r="AD7" s="183">
        <v>0</v>
      </c>
      <c r="AE7" s="184">
        <v>0</v>
      </c>
      <c r="AF7" s="183">
        <v>0</v>
      </c>
      <c r="AG7" s="184">
        <v>0</v>
      </c>
    </row>
    <row r="8" spans="1:35" s="1" customFormat="1" ht="15" x14ac:dyDescent="0.15">
      <c r="A8" s="30" t="s">
        <v>544</v>
      </c>
      <c r="B8" s="10" t="s">
        <v>14</v>
      </c>
      <c r="C8" s="10" t="s">
        <v>408</v>
      </c>
      <c r="D8" s="183">
        <v>0</v>
      </c>
      <c r="E8" s="184">
        <v>0</v>
      </c>
      <c r="F8" s="183">
        <v>42203</v>
      </c>
      <c r="G8" s="184">
        <v>42203</v>
      </c>
      <c r="H8" s="183">
        <v>52615</v>
      </c>
      <c r="I8" s="184">
        <v>52615</v>
      </c>
      <c r="J8" s="183">
        <v>57257</v>
      </c>
      <c r="K8" s="184">
        <v>57257</v>
      </c>
      <c r="L8" s="183">
        <f>92774.9/2</f>
        <v>46387.45</v>
      </c>
      <c r="M8" s="184">
        <f>92774.9/2</f>
        <v>46387.45</v>
      </c>
      <c r="N8" s="183">
        <f>107206.9/2</f>
        <v>53603.45</v>
      </c>
      <c r="O8" s="184">
        <f>107206.9/2</f>
        <v>53603.45</v>
      </c>
      <c r="P8" s="183">
        <f>106584.7/2</f>
        <v>53292.35</v>
      </c>
      <c r="Q8" s="184">
        <f>106584.7/2</f>
        <v>53292.35</v>
      </c>
      <c r="R8" s="221">
        <f>99552.4/2</f>
        <v>49776.2</v>
      </c>
      <c r="S8" s="184">
        <f>99552.4/2</f>
        <v>49776.2</v>
      </c>
      <c r="T8" s="183">
        <f>112939/2</f>
        <v>56469.5</v>
      </c>
      <c r="U8" s="184">
        <f>112939/2</f>
        <v>56469.5</v>
      </c>
      <c r="V8" s="183">
        <v>0</v>
      </c>
      <c r="W8" s="184">
        <v>0</v>
      </c>
      <c r="X8" s="183">
        <v>0</v>
      </c>
      <c r="Y8" s="184">
        <v>0</v>
      </c>
      <c r="Z8" s="183">
        <v>0</v>
      </c>
      <c r="AA8" s="184">
        <v>0</v>
      </c>
      <c r="AB8" s="183">
        <v>0</v>
      </c>
      <c r="AC8" s="184">
        <v>0</v>
      </c>
      <c r="AD8" s="183">
        <v>0</v>
      </c>
      <c r="AE8" s="184">
        <v>0</v>
      </c>
      <c r="AF8" s="183">
        <v>0</v>
      </c>
      <c r="AG8" s="184">
        <v>0</v>
      </c>
    </row>
    <row r="9" spans="1:35" s="1" customFormat="1" ht="15" x14ac:dyDescent="0.15">
      <c r="A9" s="30" t="s">
        <v>545</v>
      </c>
      <c r="B9" s="10" t="s">
        <v>14</v>
      </c>
      <c r="C9" s="10" t="s">
        <v>409</v>
      </c>
      <c r="D9" s="183">
        <v>0</v>
      </c>
      <c r="E9" s="184">
        <v>0</v>
      </c>
      <c r="F9" s="183">
        <v>74866</v>
      </c>
      <c r="G9" s="184">
        <v>74866</v>
      </c>
      <c r="H9" s="183">
        <v>85669</v>
      </c>
      <c r="I9" s="184">
        <v>85669</v>
      </c>
      <c r="J9" s="183">
        <v>88336</v>
      </c>
      <c r="K9" s="184">
        <v>88336</v>
      </c>
      <c r="L9" s="183">
        <f>200221.3/2</f>
        <v>100110.65</v>
      </c>
      <c r="M9" s="184">
        <f>200221.3/2</f>
        <v>100110.65</v>
      </c>
      <c r="N9" s="183">
        <f>191692.2/2</f>
        <v>95846.1</v>
      </c>
      <c r="O9" s="184">
        <f>191692.2/2</f>
        <v>95846.1</v>
      </c>
      <c r="P9" s="183">
        <f>183680.8/2</f>
        <v>91840.4</v>
      </c>
      <c r="Q9" s="184">
        <f>183680.8/2</f>
        <v>91840.4</v>
      </c>
      <c r="R9" s="221">
        <f>196742.8/2</f>
        <v>98371.4</v>
      </c>
      <c r="S9" s="184">
        <f>196742.8/2</f>
        <v>98371.4</v>
      </c>
      <c r="T9" s="183">
        <f>215961.2/2</f>
        <v>107980.6</v>
      </c>
      <c r="U9" s="184">
        <f>215961.2/2</f>
        <v>107980.6</v>
      </c>
      <c r="V9" s="183">
        <v>0</v>
      </c>
      <c r="W9" s="184">
        <v>0</v>
      </c>
      <c r="X9" s="183">
        <v>0</v>
      </c>
      <c r="Y9" s="184">
        <v>0</v>
      </c>
      <c r="Z9" s="183">
        <v>0</v>
      </c>
      <c r="AA9" s="184">
        <v>0</v>
      </c>
      <c r="AB9" s="183">
        <v>0</v>
      </c>
      <c r="AC9" s="184">
        <v>0</v>
      </c>
      <c r="AD9" s="183">
        <v>0</v>
      </c>
      <c r="AE9" s="184">
        <v>0</v>
      </c>
      <c r="AF9" s="183">
        <v>0</v>
      </c>
      <c r="AG9" s="184">
        <v>0</v>
      </c>
    </row>
    <row r="10" spans="1:35" s="1" customFormat="1" ht="15" x14ac:dyDescent="0.15">
      <c r="A10" s="30" t="s">
        <v>400</v>
      </c>
      <c r="B10" s="10" t="s">
        <v>14</v>
      </c>
      <c r="C10" s="10" t="s">
        <v>410</v>
      </c>
      <c r="D10" s="183">
        <v>0</v>
      </c>
      <c r="E10" s="184">
        <v>0</v>
      </c>
      <c r="F10" s="183">
        <v>0</v>
      </c>
      <c r="G10" s="184">
        <v>0</v>
      </c>
      <c r="H10" s="183">
        <v>0</v>
      </c>
      <c r="I10" s="184">
        <v>0</v>
      </c>
      <c r="J10" s="183">
        <v>64299</v>
      </c>
      <c r="K10" s="184">
        <v>65627</v>
      </c>
      <c r="L10" s="183">
        <v>86949.2</v>
      </c>
      <c r="M10" s="184">
        <v>68160.600000000006</v>
      </c>
      <c r="N10" s="183">
        <v>69722.100000000006</v>
      </c>
      <c r="O10" s="184">
        <v>68259.5</v>
      </c>
      <c r="P10" s="183">
        <v>68565.649999999994</v>
      </c>
      <c r="Q10" s="184">
        <v>74742.649999999994</v>
      </c>
      <c r="R10" s="183">
        <f>115362-R8</f>
        <v>65585.8</v>
      </c>
      <c r="S10" s="184">
        <f>102017.1-S8</f>
        <v>52240.900000000009</v>
      </c>
      <c r="T10" s="183">
        <f>203421.9-T9</f>
        <v>95441.299999999988</v>
      </c>
      <c r="U10" s="184">
        <f>205242.3-U9</f>
        <v>97261.699999999983</v>
      </c>
      <c r="V10" s="183">
        <v>0</v>
      </c>
      <c r="W10" s="184">
        <v>0</v>
      </c>
      <c r="X10" s="183">
        <v>0</v>
      </c>
      <c r="Y10" s="184">
        <v>0</v>
      </c>
      <c r="Z10" s="183">
        <v>0</v>
      </c>
      <c r="AA10" s="184">
        <v>0</v>
      </c>
      <c r="AB10" s="183">
        <v>0</v>
      </c>
      <c r="AC10" s="184">
        <v>0</v>
      </c>
      <c r="AD10" s="183">
        <v>0</v>
      </c>
      <c r="AE10" s="184">
        <v>0</v>
      </c>
      <c r="AF10" s="183">
        <v>0</v>
      </c>
      <c r="AG10" s="184">
        <v>0</v>
      </c>
    </row>
    <row r="11" spans="1:35" s="1" customFormat="1" x14ac:dyDescent="0.15">
      <c r="A11" s="30"/>
      <c r="B11" s="10" t="s">
        <v>14</v>
      </c>
      <c r="C11" s="10" t="s">
        <v>411</v>
      </c>
      <c r="D11" s="183">
        <v>0</v>
      </c>
      <c r="E11" s="184">
        <v>0</v>
      </c>
      <c r="F11" s="183">
        <v>0</v>
      </c>
      <c r="G11" s="184">
        <v>0</v>
      </c>
      <c r="H11" s="183">
        <v>0</v>
      </c>
      <c r="I11" s="184">
        <v>0</v>
      </c>
      <c r="J11" s="183">
        <v>0</v>
      </c>
      <c r="K11" s="184">
        <v>0</v>
      </c>
      <c r="L11" s="183">
        <v>0</v>
      </c>
      <c r="M11" s="184">
        <v>0</v>
      </c>
      <c r="N11" s="183">
        <v>0</v>
      </c>
      <c r="O11" s="184">
        <v>0</v>
      </c>
      <c r="P11" s="183">
        <v>0</v>
      </c>
      <c r="Q11" s="184">
        <v>0</v>
      </c>
      <c r="R11" s="183">
        <v>0</v>
      </c>
      <c r="S11" s="184">
        <v>0</v>
      </c>
      <c r="T11" s="183">
        <v>0</v>
      </c>
      <c r="U11" s="184">
        <v>0</v>
      </c>
      <c r="V11" s="183">
        <v>0</v>
      </c>
      <c r="W11" s="184">
        <v>0</v>
      </c>
      <c r="X11" s="183">
        <v>0</v>
      </c>
      <c r="Y11" s="184">
        <v>0</v>
      </c>
      <c r="Z11" s="183">
        <v>0</v>
      </c>
      <c r="AA11" s="184">
        <v>0</v>
      </c>
      <c r="AB11" s="183">
        <v>0</v>
      </c>
      <c r="AC11" s="184">
        <v>0</v>
      </c>
      <c r="AD11" s="183">
        <v>0</v>
      </c>
      <c r="AE11" s="184">
        <v>0</v>
      </c>
      <c r="AF11" s="183">
        <v>0</v>
      </c>
      <c r="AG11" s="184">
        <v>0</v>
      </c>
    </row>
    <row r="12" spans="1:35" s="1" customFormat="1" x14ac:dyDescent="0.15">
      <c r="A12" s="30"/>
      <c r="B12" s="413" t="s">
        <v>14</v>
      </c>
      <c r="C12" s="413" t="s">
        <v>415</v>
      </c>
      <c r="D12" s="195">
        <v>0</v>
      </c>
      <c r="E12" s="196">
        <v>0</v>
      </c>
      <c r="F12" s="195">
        <v>0</v>
      </c>
      <c r="G12" s="196">
        <v>0</v>
      </c>
      <c r="H12" s="195">
        <v>0</v>
      </c>
      <c r="I12" s="196">
        <v>0</v>
      </c>
      <c r="J12" s="195">
        <v>0</v>
      </c>
      <c r="K12" s="196">
        <v>0</v>
      </c>
      <c r="L12" s="195">
        <v>0</v>
      </c>
      <c r="M12" s="196">
        <v>0</v>
      </c>
      <c r="N12" s="195">
        <v>0</v>
      </c>
      <c r="O12" s="196">
        <v>0</v>
      </c>
      <c r="P12" s="195">
        <v>0</v>
      </c>
      <c r="Q12" s="196">
        <v>0</v>
      </c>
      <c r="R12" s="195">
        <v>0</v>
      </c>
      <c r="S12" s="196">
        <v>0</v>
      </c>
      <c r="T12" s="195">
        <v>0</v>
      </c>
      <c r="U12" s="196">
        <v>0</v>
      </c>
      <c r="V12" s="415">
        <v>0</v>
      </c>
      <c r="W12" s="414">
        <v>0</v>
      </c>
      <c r="X12" s="415">
        <v>0</v>
      </c>
      <c r="Y12" s="414">
        <v>0</v>
      </c>
      <c r="Z12" s="415">
        <v>0</v>
      </c>
      <c r="AA12" s="414">
        <v>0</v>
      </c>
      <c r="AB12" s="415">
        <v>0</v>
      </c>
      <c r="AC12" s="414">
        <v>0</v>
      </c>
      <c r="AD12" s="415">
        <v>0</v>
      </c>
      <c r="AE12" s="414">
        <v>0</v>
      </c>
      <c r="AF12" s="415">
        <v>0</v>
      </c>
      <c r="AG12" s="414">
        <v>0</v>
      </c>
    </row>
    <row r="13" spans="1:35" s="1" customFormat="1" x14ac:dyDescent="0.15">
      <c r="A13" s="30"/>
      <c r="B13" s="10" t="s">
        <v>15</v>
      </c>
      <c r="C13" s="10" t="s">
        <v>405</v>
      </c>
      <c r="D13" s="183">
        <v>0</v>
      </c>
      <c r="E13" s="184">
        <v>0</v>
      </c>
      <c r="F13" s="183">
        <v>0</v>
      </c>
      <c r="G13" s="184">
        <v>0</v>
      </c>
      <c r="H13" s="183">
        <v>0</v>
      </c>
      <c r="I13" s="184">
        <v>0</v>
      </c>
      <c r="J13" s="183">
        <v>0</v>
      </c>
      <c r="K13" s="184">
        <v>0</v>
      </c>
      <c r="L13" s="183">
        <v>0</v>
      </c>
      <c r="M13" s="184">
        <v>0</v>
      </c>
      <c r="N13" s="183">
        <v>0</v>
      </c>
      <c r="O13" s="184">
        <v>0</v>
      </c>
      <c r="P13" s="183">
        <v>0</v>
      </c>
      <c r="Q13" s="184">
        <v>0</v>
      </c>
      <c r="R13" s="183">
        <v>0</v>
      </c>
      <c r="S13" s="184">
        <v>0</v>
      </c>
      <c r="T13" s="183">
        <v>0</v>
      </c>
      <c r="U13" s="184">
        <v>0</v>
      </c>
      <c r="V13" s="183">
        <v>0</v>
      </c>
      <c r="W13" s="184">
        <v>0</v>
      </c>
      <c r="X13" s="183">
        <v>0</v>
      </c>
      <c r="Y13" s="184">
        <v>0</v>
      </c>
      <c r="Z13" s="183">
        <v>0</v>
      </c>
      <c r="AA13" s="184">
        <v>0</v>
      </c>
      <c r="AB13" s="183">
        <v>0</v>
      </c>
      <c r="AC13" s="184">
        <v>0</v>
      </c>
      <c r="AD13" s="183">
        <v>0</v>
      </c>
      <c r="AE13" s="184">
        <v>0</v>
      </c>
      <c r="AF13" s="183">
        <v>0</v>
      </c>
      <c r="AG13" s="184">
        <v>0</v>
      </c>
    </row>
    <row r="14" spans="1:35" s="1" customFormat="1" x14ac:dyDescent="0.15">
      <c r="A14" s="30"/>
      <c r="B14" s="10" t="s">
        <v>403</v>
      </c>
      <c r="C14" s="10" t="s">
        <v>404</v>
      </c>
      <c r="D14" s="183">
        <v>0</v>
      </c>
      <c r="E14" s="184">
        <v>0</v>
      </c>
      <c r="F14" s="183">
        <v>0</v>
      </c>
      <c r="G14" s="184">
        <v>0</v>
      </c>
      <c r="H14" s="183">
        <v>0</v>
      </c>
      <c r="I14" s="184">
        <v>0</v>
      </c>
      <c r="J14" s="183">
        <v>0</v>
      </c>
      <c r="K14" s="184">
        <v>0</v>
      </c>
      <c r="L14" s="183">
        <v>0</v>
      </c>
      <c r="M14" s="184">
        <v>0</v>
      </c>
      <c r="N14" s="183">
        <v>0</v>
      </c>
      <c r="O14" s="184">
        <v>0</v>
      </c>
      <c r="P14" s="183">
        <v>0</v>
      </c>
      <c r="Q14" s="184">
        <v>0</v>
      </c>
      <c r="R14" s="183">
        <v>0</v>
      </c>
      <c r="S14" s="184">
        <v>0</v>
      </c>
      <c r="T14" s="183">
        <v>0</v>
      </c>
      <c r="U14" s="184">
        <v>0</v>
      </c>
      <c r="V14" s="183">
        <v>0</v>
      </c>
      <c r="W14" s="184">
        <v>0</v>
      </c>
      <c r="X14" s="183">
        <v>0</v>
      </c>
      <c r="Y14" s="184">
        <v>0</v>
      </c>
      <c r="Z14" s="183">
        <v>0</v>
      </c>
      <c r="AA14" s="184">
        <v>0</v>
      </c>
      <c r="AB14" s="183">
        <v>0</v>
      </c>
      <c r="AC14" s="184">
        <v>0</v>
      </c>
      <c r="AD14" s="183">
        <v>0</v>
      </c>
      <c r="AE14" s="184">
        <v>0</v>
      </c>
      <c r="AF14" s="183">
        <v>0</v>
      </c>
      <c r="AG14" s="184">
        <v>0</v>
      </c>
    </row>
    <row r="15" spans="1:35" s="1" customFormat="1" x14ac:dyDescent="0.15">
      <c r="A15" s="31"/>
      <c r="B15" s="9" t="s">
        <v>16</v>
      </c>
      <c r="C15" s="9" t="s">
        <v>407</v>
      </c>
      <c r="D15" s="195">
        <v>0</v>
      </c>
      <c r="E15" s="196">
        <v>0</v>
      </c>
      <c r="F15" s="195">
        <v>0</v>
      </c>
      <c r="G15" s="196">
        <v>0</v>
      </c>
      <c r="H15" s="195">
        <v>0</v>
      </c>
      <c r="I15" s="196">
        <v>0</v>
      </c>
      <c r="J15" s="195">
        <v>0</v>
      </c>
      <c r="K15" s="196">
        <v>0</v>
      </c>
      <c r="L15" s="195">
        <v>0</v>
      </c>
      <c r="M15" s="196">
        <v>0</v>
      </c>
      <c r="N15" s="195">
        <v>0</v>
      </c>
      <c r="O15" s="196">
        <v>0</v>
      </c>
      <c r="P15" s="195">
        <v>0</v>
      </c>
      <c r="Q15" s="196">
        <v>0</v>
      </c>
      <c r="R15" s="195">
        <v>0</v>
      </c>
      <c r="S15" s="196">
        <v>0</v>
      </c>
      <c r="T15" s="195">
        <v>0</v>
      </c>
      <c r="U15" s="196">
        <v>0</v>
      </c>
      <c r="V15" s="195">
        <v>0</v>
      </c>
      <c r="W15" s="196">
        <v>0</v>
      </c>
      <c r="X15" s="195">
        <v>0</v>
      </c>
      <c r="Y15" s="196">
        <v>0</v>
      </c>
      <c r="Z15" s="195">
        <v>0</v>
      </c>
      <c r="AA15" s="196">
        <v>0</v>
      </c>
      <c r="AB15" s="195">
        <v>0</v>
      </c>
      <c r="AC15" s="196">
        <v>0</v>
      </c>
      <c r="AD15" s="195">
        <v>0</v>
      </c>
      <c r="AE15" s="196">
        <v>0</v>
      </c>
      <c r="AF15" s="195">
        <v>0</v>
      </c>
      <c r="AG15" s="196">
        <v>0</v>
      </c>
    </row>
    <row r="16" spans="1:35" s="1" customFormat="1" ht="14" customHeight="1" x14ac:dyDescent="0.15">
      <c r="A16" s="33" t="s">
        <v>293</v>
      </c>
      <c r="B16" s="32" t="s">
        <v>31</v>
      </c>
      <c r="C16" s="32" t="s">
        <v>294</v>
      </c>
      <c r="D16" s="35">
        <f t="shared" ref="D16:AG16" si="6">SUM(D17:D19)</f>
        <v>5548</v>
      </c>
      <c r="E16" s="34">
        <f t="shared" si="6"/>
        <v>5548</v>
      </c>
      <c r="F16" s="35">
        <f t="shared" si="6"/>
        <v>3200</v>
      </c>
      <c r="G16" s="34">
        <f t="shared" si="6"/>
        <v>3808</v>
      </c>
      <c r="H16" s="35">
        <f t="shared" si="6"/>
        <v>4361</v>
      </c>
      <c r="I16" s="34">
        <f t="shared" si="6"/>
        <v>5821</v>
      </c>
      <c r="J16" s="35">
        <f t="shared" si="6"/>
        <v>5259</v>
      </c>
      <c r="K16" s="34">
        <f t="shared" si="6"/>
        <v>5859</v>
      </c>
      <c r="L16" s="35">
        <f t="shared" si="6"/>
        <v>5266</v>
      </c>
      <c r="M16" s="34">
        <f t="shared" si="6"/>
        <v>6200</v>
      </c>
      <c r="N16" s="35">
        <f t="shared" si="6"/>
        <v>3899</v>
      </c>
      <c r="O16" s="34">
        <f t="shared" si="6"/>
        <v>3726.9</v>
      </c>
      <c r="P16" s="35">
        <f t="shared" si="6"/>
        <v>3485.7</v>
      </c>
      <c r="Q16" s="34">
        <f t="shared" si="6"/>
        <v>2986.4</v>
      </c>
      <c r="R16" s="35">
        <f t="shared" si="6"/>
        <v>4432.33</v>
      </c>
      <c r="S16" s="34">
        <f t="shared" si="6"/>
        <v>6193.9500000000007</v>
      </c>
      <c r="T16" s="35">
        <f t="shared" si="6"/>
        <v>5640.04</v>
      </c>
      <c r="U16" s="34">
        <f t="shared" si="6"/>
        <v>6499.91</v>
      </c>
      <c r="V16" s="35">
        <f t="shared" si="6"/>
        <v>0</v>
      </c>
      <c r="W16" s="34">
        <f t="shared" si="6"/>
        <v>0</v>
      </c>
      <c r="X16" s="35">
        <f t="shared" si="6"/>
        <v>0</v>
      </c>
      <c r="Y16" s="34">
        <f t="shared" si="6"/>
        <v>0</v>
      </c>
      <c r="Z16" s="35">
        <f t="shared" si="6"/>
        <v>0</v>
      </c>
      <c r="AA16" s="34">
        <f t="shared" si="6"/>
        <v>0</v>
      </c>
      <c r="AB16" s="35">
        <f t="shared" si="6"/>
        <v>0</v>
      </c>
      <c r="AC16" s="34">
        <f t="shared" si="6"/>
        <v>0</v>
      </c>
      <c r="AD16" s="35">
        <f t="shared" si="6"/>
        <v>0</v>
      </c>
      <c r="AE16" s="34">
        <f t="shared" si="6"/>
        <v>0</v>
      </c>
      <c r="AF16" s="35">
        <f t="shared" si="6"/>
        <v>0</v>
      </c>
      <c r="AG16" s="34">
        <f t="shared" si="6"/>
        <v>0</v>
      </c>
    </row>
    <row r="17" spans="1:33" s="1" customFormat="1" ht="15" customHeight="1" x14ac:dyDescent="0.15">
      <c r="A17" s="759" t="s">
        <v>10</v>
      </c>
      <c r="B17" s="19" t="s">
        <v>14</v>
      </c>
      <c r="C17" s="19" t="s">
        <v>266</v>
      </c>
      <c r="D17" s="183">
        <v>2774</v>
      </c>
      <c r="E17" s="184">
        <v>2774</v>
      </c>
      <c r="F17" s="183">
        <v>3200</v>
      </c>
      <c r="G17" s="184">
        <v>3808</v>
      </c>
      <c r="H17" s="183">
        <v>4361</v>
      </c>
      <c r="I17" s="184">
        <v>3464</v>
      </c>
      <c r="J17" s="183">
        <v>3487</v>
      </c>
      <c r="K17" s="184">
        <v>2901</v>
      </c>
      <c r="L17" s="183">
        <v>3240</v>
      </c>
      <c r="M17" s="184">
        <v>3527</v>
      </c>
      <c r="N17" s="183">
        <v>3899</v>
      </c>
      <c r="O17" s="184">
        <v>3726.9</v>
      </c>
      <c r="P17" s="183">
        <v>3485.7</v>
      </c>
      <c r="Q17" s="184">
        <v>2986.4</v>
      </c>
      <c r="R17" s="183">
        <v>1699</v>
      </c>
      <c r="S17" s="184">
        <v>3041.65</v>
      </c>
      <c r="T17" s="183">
        <v>0</v>
      </c>
      <c r="U17" s="184">
        <v>0</v>
      </c>
      <c r="V17" s="473">
        <v>0</v>
      </c>
      <c r="W17" s="472">
        <v>0</v>
      </c>
      <c r="X17" s="473">
        <v>0</v>
      </c>
      <c r="Y17" s="472">
        <v>0</v>
      </c>
      <c r="Z17" s="473">
        <v>0</v>
      </c>
      <c r="AA17" s="472">
        <v>0</v>
      </c>
      <c r="AB17" s="473">
        <v>0</v>
      </c>
      <c r="AC17" s="472">
        <v>0</v>
      </c>
      <c r="AD17" s="473">
        <v>0</v>
      </c>
      <c r="AE17" s="472">
        <v>0</v>
      </c>
      <c r="AF17" s="473">
        <v>0</v>
      </c>
      <c r="AG17" s="472">
        <v>0</v>
      </c>
    </row>
    <row r="18" spans="1:33" s="1" customFormat="1" x14ac:dyDescent="0.15">
      <c r="A18" s="760"/>
      <c r="B18" s="10" t="s">
        <v>15</v>
      </c>
      <c r="C18" s="10" t="s">
        <v>267</v>
      </c>
      <c r="D18" s="183">
        <v>2774</v>
      </c>
      <c r="E18" s="184">
        <v>2774</v>
      </c>
      <c r="F18" s="183">
        <v>0</v>
      </c>
      <c r="G18" s="184">
        <v>0</v>
      </c>
      <c r="H18" s="183">
        <v>0</v>
      </c>
      <c r="I18" s="184">
        <v>2357</v>
      </c>
      <c r="J18" s="183">
        <v>1772</v>
      </c>
      <c r="K18" s="184">
        <v>2958</v>
      </c>
      <c r="L18" s="183">
        <v>2026</v>
      </c>
      <c r="M18" s="184">
        <v>2673</v>
      </c>
      <c r="N18" s="183">
        <v>0</v>
      </c>
      <c r="O18" s="184">
        <v>0</v>
      </c>
      <c r="P18" s="183">
        <v>0</v>
      </c>
      <c r="Q18" s="184">
        <v>0</v>
      </c>
      <c r="R18" s="183">
        <v>2733.33</v>
      </c>
      <c r="S18" s="184">
        <v>3152.3</v>
      </c>
      <c r="T18" s="183">
        <v>5640.04</v>
      </c>
      <c r="U18" s="184">
        <v>6499.91</v>
      </c>
      <c r="V18" s="183">
        <v>0</v>
      </c>
      <c r="W18" s="184">
        <v>0</v>
      </c>
      <c r="X18" s="183">
        <v>0</v>
      </c>
      <c r="Y18" s="184">
        <v>0</v>
      </c>
      <c r="Z18" s="183">
        <v>0</v>
      </c>
      <c r="AA18" s="184">
        <v>0</v>
      </c>
      <c r="AB18" s="183">
        <v>0</v>
      </c>
      <c r="AC18" s="184">
        <v>0</v>
      </c>
      <c r="AD18" s="183">
        <v>0</v>
      </c>
      <c r="AE18" s="184">
        <v>0</v>
      </c>
      <c r="AF18" s="183">
        <v>0</v>
      </c>
      <c r="AG18" s="184">
        <v>0</v>
      </c>
    </row>
    <row r="19" spans="1:33" s="1" customFormat="1" x14ac:dyDescent="0.15">
      <c r="A19" s="761"/>
      <c r="B19" s="9" t="s">
        <v>16</v>
      </c>
      <c r="C19" s="9" t="s">
        <v>268</v>
      </c>
      <c r="D19" s="195">
        <v>0</v>
      </c>
      <c r="E19" s="196">
        <v>0</v>
      </c>
      <c r="F19" s="195">
        <v>0</v>
      </c>
      <c r="G19" s="196">
        <v>0</v>
      </c>
      <c r="H19" s="195">
        <v>0</v>
      </c>
      <c r="I19" s="196">
        <v>0</v>
      </c>
      <c r="J19" s="195">
        <v>0</v>
      </c>
      <c r="K19" s="196">
        <v>0</v>
      </c>
      <c r="L19" s="195">
        <v>0</v>
      </c>
      <c r="M19" s="196">
        <v>0</v>
      </c>
      <c r="N19" s="195">
        <v>0</v>
      </c>
      <c r="O19" s="196">
        <v>0</v>
      </c>
      <c r="P19" s="195">
        <v>0</v>
      </c>
      <c r="Q19" s="196">
        <v>0</v>
      </c>
      <c r="R19" s="195">
        <v>0</v>
      </c>
      <c r="S19" s="196">
        <v>0</v>
      </c>
      <c r="T19" s="195">
        <v>0</v>
      </c>
      <c r="U19" s="196">
        <v>0</v>
      </c>
      <c r="V19" s="195">
        <v>0</v>
      </c>
      <c r="W19" s="196">
        <v>0</v>
      </c>
      <c r="X19" s="195">
        <v>0</v>
      </c>
      <c r="Y19" s="196">
        <v>0</v>
      </c>
      <c r="Z19" s="195">
        <v>0</v>
      </c>
      <c r="AA19" s="196">
        <v>0</v>
      </c>
      <c r="AB19" s="195">
        <v>0</v>
      </c>
      <c r="AC19" s="196">
        <v>0</v>
      </c>
      <c r="AD19" s="195">
        <v>0</v>
      </c>
      <c r="AE19" s="196">
        <v>0</v>
      </c>
      <c r="AF19" s="195">
        <v>0</v>
      </c>
      <c r="AG19" s="196">
        <v>0</v>
      </c>
    </row>
    <row r="20" spans="1:33" s="1" customFormat="1" x14ac:dyDescent="0.15">
      <c r="A20" s="11" t="s">
        <v>121</v>
      </c>
      <c r="B20" s="9"/>
      <c r="C20" s="9" t="s">
        <v>269</v>
      </c>
      <c r="D20" s="195">
        <v>0</v>
      </c>
      <c r="E20" s="196">
        <v>0</v>
      </c>
      <c r="F20" s="195">
        <v>3780</v>
      </c>
      <c r="G20" s="196">
        <v>5248</v>
      </c>
      <c r="H20" s="195">
        <v>4598</v>
      </c>
      <c r="I20" s="196">
        <v>7015</v>
      </c>
      <c r="J20" s="195">
        <v>7944</v>
      </c>
      <c r="K20" s="196">
        <v>8269</v>
      </c>
      <c r="L20" s="195">
        <v>9120</v>
      </c>
      <c r="M20" s="196">
        <v>9474.2999999999993</v>
      </c>
      <c r="N20" s="195">
        <v>12826</v>
      </c>
      <c r="O20" s="196">
        <v>12273.9</v>
      </c>
      <c r="P20" s="195">
        <v>11996.7</v>
      </c>
      <c r="Q20" s="196">
        <v>12750</v>
      </c>
      <c r="R20" s="195">
        <v>12988</v>
      </c>
      <c r="S20" s="196">
        <v>12138.5</v>
      </c>
      <c r="T20" s="195">
        <v>14287</v>
      </c>
      <c r="U20" s="196">
        <v>13480.4</v>
      </c>
      <c r="V20" s="195">
        <v>0</v>
      </c>
      <c r="W20" s="196">
        <v>0</v>
      </c>
      <c r="X20" s="195">
        <v>0</v>
      </c>
      <c r="Y20" s="196">
        <v>0</v>
      </c>
      <c r="Z20" s="195">
        <v>0</v>
      </c>
      <c r="AA20" s="196">
        <v>0</v>
      </c>
      <c r="AB20" s="195">
        <v>0</v>
      </c>
      <c r="AC20" s="196">
        <v>0</v>
      </c>
      <c r="AD20" s="195">
        <v>0</v>
      </c>
      <c r="AE20" s="196">
        <v>0</v>
      </c>
      <c r="AF20" s="195">
        <v>0</v>
      </c>
      <c r="AG20" s="196">
        <v>0</v>
      </c>
    </row>
    <row r="21" spans="1:33" s="1" customFormat="1" x14ac:dyDescent="0.15">
      <c r="A21" s="11" t="s">
        <v>11</v>
      </c>
      <c r="B21" s="9"/>
      <c r="C21" s="9" t="s">
        <v>270</v>
      </c>
      <c r="D21" s="195">
        <v>0</v>
      </c>
      <c r="E21" s="196">
        <v>0</v>
      </c>
      <c r="F21" s="195">
        <v>0</v>
      </c>
      <c r="G21" s="196">
        <v>0</v>
      </c>
      <c r="H21" s="195">
        <v>0</v>
      </c>
      <c r="I21" s="196">
        <v>0</v>
      </c>
      <c r="J21" s="195">
        <v>0</v>
      </c>
      <c r="K21" s="196">
        <v>0</v>
      </c>
      <c r="L21" s="195">
        <v>0</v>
      </c>
      <c r="M21" s="196">
        <v>0</v>
      </c>
      <c r="N21" s="195">
        <v>0</v>
      </c>
      <c r="O21" s="196">
        <v>0</v>
      </c>
      <c r="P21" s="195">
        <v>0</v>
      </c>
      <c r="Q21" s="196">
        <v>0</v>
      </c>
      <c r="R21" s="195">
        <v>0</v>
      </c>
      <c r="S21" s="196">
        <v>0</v>
      </c>
      <c r="T21" s="195">
        <v>0</v>
      </c>
      <c r="U21" s="196">
        <v>0</v>
      </c>
      <c r="V21" s="195">
        <v>0</v>
      </c>
      <c r="W21" s="196">
        <v>0</v>
      </c>
      <c r="X21" s="195">
        <v>0</v>
      </c>
      <c r="Y21" s="196">
        <v>0</v>
      </c>
      <c r="Z21" s="195">
        <v>0</v>
      </c>
      <c r="AA21" s="196">
        <v>0</v>
      </c>
      <c r="AB21" s="195">
        <v>0</v>
      </c>
      <c r="AC21" s="196">
        <v>0</v>
      </c>
      <c r="AD21" s="195">
        <v>0</v>
      </c>
      <c r="AE21" s="196">
        <v>0</v>
      </c>
      <c r="AF21" s="195">
        <v>0</v>
      </c>
      <c r="AG21" s="196">
        <v>0</v>
      </c>
    </row>
    <row r="22" spans="1:33" s="1" customFormat="1" x14ac:dyDescent="0.15">
      <c r="A22" s="50" t="s">
        <v>2</v>
      </c>
      <c r="B22" s="51" t="s">
        <v>31</v>
      </c>
      <c r="C22" s="51" t="s">
        <v>295</v>
      </c>
      <c r="D22" s="229">
        <f t="shared" ref="D22:U22" si="7">SUM(D23:D33)</f>
        <v>0</v>
      </c>
      <c r="E22" s="53">
        <f t="shared" si="7"/>
        <v>0</v>
      </c>
      <c r="F22" s="52">
        <f t="shared" si="7"/>
        <v>0</v>
      </c>
      <c r="G22" s="53">
        <f t="shared" si="7"/>
        <v>0</v>
      </c>
      <c r="H22" s="52">
        <f t="shared" si="7"/>
        <v>0</v>
      </c>
      <c r="I22" s="53">
        <f t="shared" si="7"/>
        <v>0</v>
      </c>
      <c r="J22" s="52">
        <f t="shared" si="7"/>
        <v>0</v>
      </c>
      <c r="K22" s="53">
        <f t="shared" si="7"/>
        <v>0</v>
      </c>
      <c r="L22" s="52">
        <f t="shared" si="7"/>
        <v>0</v>
      </c>
      <c r="M22" s="53">
        <f t="shared" si="7"/>
        <v>0</v>
      </c>
      <c r="N22" s="52">
        <f t="shared" si="7"/>
        <v>0</v>
      </c>
      <c r="O22" s="53">
        <f t="shared" si="7"/>
        <v>0</v>
      </c>
      <c r="P22" s="52">
        <f t="shared" si="7"/>
        <v>0</v>
      </c>
      <c r="Q22" s="53">
        <f t="shared" si="7"/>
        <v>0</v>
      </c>
      <c r="R22" s="52">
        <f t="shared" si="7"/>
        <v>0</v>
      </c>
      <c r="S22" s="53">
        <f t="shared" si="7"/>
        <v>0</v>
      </c>
      <c r="T22" s="52">
        <f t="shared" si="7"/>
        <v>0</v>
      </c>
      <c r="U22" s="53">
        <f t="shared" si="7"/>
        <v>0</v>
      </c>
      <c r="V22" s="52">
        <f t="shared" ref="V22:AG22" si="8">SUM(V23:V33)</f>
        <v>0</v>
      </c>
      <c r="W22" s="53">
        <f t="shared" si="8"/>
        <v>0</v>
      </c>
      <c r="X22" s="52">
        <f t="shared" si="8"/>
        <v>0</v>
      </c>
      <c r="Y22" s="53">
        <f t="shared" si="8"/>
        <v>0</v>
      </c>
      <c r="Z22" s="52">
        <f t="shared" si="8"/>
        <v>0</v>
      </c>
      <c r="AA22" s="53">
        <f t="shared" si="8"/>
        <v>0</v>
      </c>
      <c r="AB22" s="52">
        <f t="shared" si="8"/>
        <v>0</v>
      </c>
      <c r="AC22" s="53">
        <f t="shared" si="8"/>
        <v>0</v>
      </c>
      <c r="AD22" s="52">
        <f t="shared" si="8"/>
        <v>0</v>
      </c>
      <c r="AE22" s="53">
        <f t="shared" si="8"/>
        <v>0</v>
      </c>
      <c r="AF22" s="52">
        <f t="shared" si="8"/>
        <v>0</v>
      </c>
      <c r="AG22" s="53">
        <f t="shared" si="8"/>
        <v>0</v>
      </c>
    </row>
    <row r="23" spans="1:33" s="1" customFormat="1" x14ac:dyDescent="0.15">
      <c r="A23" s="591" t="s">
        <v>195</v>
      </c>
      <c r="B23" s="10"/>
      <c r="C23" s="19" t="s">
        <v>311</v>
      </c>
      <c r="D23" s="221">
        <v>0</v>
      </c>
      <c r="E23" s="184">
        <v>0</v>
      </c>
      <c r="F23" s="183">
        <v>0</v>
      </c>
      <c r="G23" s="184">
        <v>0</v>
      </c>
      <c r="H23" s="183">
        <v>0</v>
      </c>
      <c r="I23" s="184">
        <v>0</v>
      </c>
      <c r="J23" s="183">
        <v>0</v>
      </c>
      <c r="K23" s="184">
        <v>0</v>
      </c>
      <c r="L23" s="183">
        <v>0</v>
      </c>
      <c r="M23" s="184">
        <v>0</v>
      </c>
      <c r="N23" s="183">
        <v>0</v>
      </c>
      <c r="O23" s="184">
        <v>0</v>
      </c>
      <c r="P23" s="183">
        <v>0</v>
      </c>
      <c r="Q23" s="184">
        <v>0</v>
      </c>
      <c r="R23" s="183">
        <v>0</v>
      </c>
      <c r="S23" s="184">
        <v>0</v>
      </c>
      <c r="T23" s="183">
        <v>0</v>
      </c>
      <c r="U23" s="184">
        <v>0</v>
      </c>
      <c r="V23" s="183">
        <v>0</v>
      </c>
      <c r="W23" s="184">
        <v>0</v>
      </c>
      <c r="X23" s="183">
        <v>0</v>
      </c>
      <c r="Y23" s="184">
        <v>0</v>
      </c>
      <c r="Z23" s="183">
        <v>0</v>
      </c>
      <c r="AA23" s="184">
        <v>0</v>
      </c>
      <c r="AB23" s="183">
        <v>0</v>
      </c>
      <c r="AC23" s="184">
        <v>0</v>
      </c>
      <c r="AD23" s="183">
        <v>0</v>
      </c>
      <c r="AE23" s="184">
        <v>0</v>
      </c>
      <c r="AF23" s="183">
        <v>0</v>
      </c>
      <c r="AG23" s="184">
        <v>0</v>
      </c>
    </row>
    <row r="24" spans="1:33" s="1" customFormat="1" x14ac:dyDescent="0.15">
      <c r="A24" s="591" t="s">
        <v>196</v>
      </c>
      <c r="B24" s="10"/>
      <c r="C24" s="10" t="s">
        <v>312</v>
      </c>
      <c r="D24" s="221">
        <v>0</v>
      </c>
      <c r="E24" s="184">
        <v>0</v>
      </c>
      <c r="F24" s="183">
        <v>0</v>
      </c>
      <c r="G24" s="184">
        <v>0</v>
      </c>
      <c r="H24" s="183">
        <v>0</v>
      </c>
      <c r="I24" s="184">
        <v>0</v>
      </c>
      <c r="J24" s="183">
        <v>0</v>
      </c>
      <c r="K24" s="184">
        <v>0</v>
      </c>
      <c r="L24" s="183">
        <v>0</v>
      </c>
      <c r="M24" s="184">
        <v>0</v>
      </c>
      <c r="N24" s="183">
        <v>0</v>
      </c>
      <c r="O24" s="184">
        <v>0</v>
      </c>
      <c r="P24" s="183">
        <v>0</v>
      </c>
      <c r="Q24" s="184">
        <v>0</v>
      </c>
      <c r="R24" s="183">
        <v>0</v>
      </c>
      <c r="S24" s="184">
        <v>0</v>
      </c>
      <c r="T24" s="183">
        <v>0</v>
      </c>
      <c r="U24" s="184">
        <v>0</v>
      </c>
      <c r="V24" s="183">
        <v>0</v>
      </c>
      <c r="W24" s="184">
        <v>0</v>
      </c>
      <c r="X24" s="183">
        <v>0</v>
      </c>
      <c r="Y24" s="184">
        <v>0</v>
      </c>
      <c r="Z24" s="183">
        <v>0</v>
      </c>
      <c r="AA24" s="184">
        <v>0</v>
      </c>
      <c r="AB24" s="183">
        <v>0</v>
      </c>
      <c r="AC24" s="184">
        <v>0</v>
      </c>
      <c r="AD24" s="183">
        <v>0</v>
      </c>
      <c r="AE24" s="184">
        <v>0</v>
      </c>
      <c r="AF24" s="183">
        <v>0</v>
      </c>
      <c r="AG24" s="184">
        <v>0</v>
      </c>
    </row>
    <row r="25" spans="1:33" s="1" customFormat="1" x14ac:dyDescent="0.15">
      <c r="A25" s="591" t="s">
        <v>197</v>
      </c>
      <c r="B25" s="10"/>
      <c r="C25" s="10" t="s">
        <v>313</v>
      </c>
      <c r="D25" s="221">
        <v>0</v>
      </c>
      <c r="E25" s="184">
        <v>0</v>
      </c>
      <c r="F25" s="183">
        <v>0</v>
      </c>
      <c r="G25" s="184">
        <v>0</v>
      </c>
      <c r="H25" s="183">
        <v>0</v>
      </c>
      <c r="I25" s="184">
        <v>0</v>
      </c>
      <c r="J25" s="183">
        <v>0</v>
      </c>
      <c r="K25" s="184">
        <v>0</v>
      </c>
      <c r="L25" s="183">
        <v>0</v>
      </c>
      <c r="M25" s="184">
        <v>0</v>
      </c>
      <c r="N25" s="183">
        <v>0</v>
      </c>
      <c r="O25" s="184">
        <v>0</v>
      </c>
      <c r="P25" s="183">
        <v>0</v>
      </c>
      <c r="Q25" s="184">
        <v>0</v>
      </c>
      <c r="R25" s="183">
        <v>0</v>
      </c>
      <c r="S25" s="184">
        <v>0</v>
      </c>
      <c r="T25" s="183">
        <v>0</v>
      </c>
      <c r="U25" s="184">
        <v>0</v>
      </c>
      <c r="V25" s="183">
        <v>0</v>
      </c>
      <c r="W25" s="184">
        <v>0</v>
      </c>
      <c r="X25" s="183">
        <v>0</v>
      </c>
      <c r="Y25" s="184">
        <v>0</v>
      </c>
      <c r="Z25" s="183">
        <v>0</v>
      </c>
      <c r="AA25" s="184">
        <v>0</v>
      </c>
      <c r="AB25" s="183">
        <v>0</v>
      </c>
      <c r="AC25" s="184">
        <v>0</v>
      </c>
      <c r="AD25" s="183">
        <v>0</v>
      </c>
      <c r="AE25" s="184">
        <v>0</v>
      </c>
      <c r="AF25" s="183">
        <v>0</v>
      </c>
      <c r="AG25" s="184">
        <v>0</v>
      </c>
    </row>
    <row r="26" spans="1:33" s="1" customFormat="1" x14ac:dyDescent="0.15">
      <c r="A26" s="591" t="s">
        <v>198</v>
      </c>
      <c r="B26" s="10"/>
      <c r="C26" s="10" t="s">
        <v>316</v>
      </c>
      <c r="D26" s="221">
        <v>0</v>
      </c>
      <c r="E26" s="184">
        <v>0</v>
      </c>
      <c r="F26" s="183">
        <v>0</v>
      </c>
      <c r="G26" s="184">
        <v>0</v>
      </c>
      <c r="H26" s="183">
        <v>0</v>
      </c>
      <c r="I26" s="184">
        <v>0</v>
      </c>
      <c r="J26" s="183">
        <v>0</v>
      </c>
      <c r="K26" s="184">
        <v>0</v>
      </c>
      <c r="L26" s="183">
        <v>0</v>
      </c>
      <c r="M26" s="184">
        <v>0</v>
      </c>
      <c r="N26" s="183">
        <v>0</v>
      </c>
      <c r="O26" s="184">
        <v>0</v>
      </c>
      <c r="P26" s="183">
        <v>0</v>
      </c>
      <c r="Q26" s="184">
        <v>0</v>
      </c>
      <c r="R26" s="183">
        <v>0</v>
      </c>
      <c r="S26" s="184">
        <v>0</v>
      </c>
      <c r="T26" s="183">
        <v>0</v>
      </c>
      <c r="U26" s="184">
        <v>0</v>
      </c>
      <c r="V26" s="183">
        <v>0</v>
      </c>
      <c r="W26" s="184">
        <v>0</v>
      </c>
      <c r="X26" s="183">
        <v>0</v>
      </c>
      <c r="Y26" s="184">
        <v>0</v>
      </c>
      <c r="Z26" s="183">
        <v>0</v>
      </c>
      <c r="AA26" s="184">
        <v>0</v>
      </c>
      <c r="AB26" s="183">
        <v>0</v>
      </c>
      <c r="AC26" s="184">
        <v>0</v>
      </c>
      <c r="AD26" s="183">
        <v>0</v>
      </c>
      <c r="AE26" s="184">
        <v>0</v>
      </c>
      <c r="AF26" s="183">
        <v>0</v>
      </c>
      <c r="AG26" s="184">
        <v>0</v>
      </c>
    </row>
    <row r="27" spans="1:33" s="1" customFormat="1" x14ac:dyDescent="0.15">
      <c r="A27" s="591" t="s">
        <v>199</v>
      </c>
      <c r="B27" s="10"/>
      <c r="C27" s="10" t="s">
        <v>314</v>
      </c>
      <c r="D27" s="221">
        <v>0</v>
      </c>
      <c r="E27" s="184">
        <v>0</v>
      </c>
      <c r="F27" s="183">
        <v>0</v>
      </c>
      <c r="G27" s="184">
        <v>0</v>
      </c>
      <c r="H27" s="183">
        <v>0</v>
      </c>
      <c r="I27" s="184">
        <v>0</v>
      </c>
      <c r="J27" s="183">
        <v>0</v>
      </c>
      <c r="K27" s="184">
        <v>0</v>
      </c>
      <c r="L27" s="183">
        <v>0</v>
      </c>
      <c r="M27" s="184">
        <v>0</v>
      </c>
      <c r="N27" s="183">
        <v>0</v>
      </c>
      <c r="O27" s="184">
        <v>0</v>
      </c>
      <c r="P27" s="183">
        <v>0</v>
      </c>
      <c r="Q27" s="184">
        <v>0</v>
      </c>
      <c r="R27" s="183">
        <v>0</v>
      </c>
      <c r="S27" s="184">
        <v>0</v>
      </c>
      <c r="T27" s="183">
        <v>0</v>
      </c>
      <c r="U27" s="184">
        <v>0</v>
      </c>
      <c r="V27" s="183">
        <v>0</v>
      </c>
      <c r="W27" s="184">
        <v>0</v>
      </c>
      <c r="X27" s="183">
        <v>0</v>
      </c>
      <c r="Y27" s="184">
        <v>0</v>
      </c>
      <c r="Z27" s="183">
        <v>0</v>
      </c>
      <c r="AA27" s="184">
        <v>0</v>
      </c>
      <c r="AB27" s="183">
        <v>0</v>
      </c>
      <c r="AC27" s="184">
        <v>0</v>
      </c>
      <c r="AD27" s="183">
        <v>0</v>
      </c>
      <c r="AE27" s="184">
        <v>0</v>
      </c>
      <c r="AF27" s="183">
        <v>0</v>
      </c>
      <c r="AG27" s="184">
        <v>0</v>
      </c>
    </row>
    <row r="28" spans="1:33" s="1" customFormat="1" x14ac:dyDescent="0.15">
      <c r="A28" s="591" t="s">
        <v>200</v>
      </c>
      <c r="B28" s="10"/>
      <c r="C28" s="10" t="s">
        <v>315</v>
      </c>
      <c r="D28" s="221">
        <v>0</v>
      </c>
      <c r="E28" s="184">
        <v>0</v>
      </c>
      <c r="F28" s="183">
        <v>0</v>
      </c>
      <c r="G28" s="184">
        <v>0</v>
      </c>
      <c r="H28" s="183">
        <v>0</v>
      </c>
      <c r="I28" s="184">
        <v>0</v>
      </c>
      <c r="J28" s="183">
        <v>0</v>
      </c>
      <c r="K28" s="184">
        <v>0</v>
      </c>
      <c r="L28" s="183">
        <v>0</v>
      </c>
      <c r="M28" s="184">
        <v>0</v>
      </c>
      <c r="N28" s="183">
        <v>0</v>
      </c>
      <c r="O28" s="184">
        <v>0</v>
      </c>
      <c r="P28" s="183">
        <v>0</v>
      </c>
      <c r="Q28" s="184">
        <v>0</v>
      </c>
      <c r="R28" s="183">
        <v>0</v>
      </c>
      <c r="S28" s="184">
        <v>0</v>
      </c>
      <c r="T28" s="183">
        <v>0</v>
      </c>
      <c r="U28" s="184">
        <v>0</v>
      </c>
      <c r="V28" s="183">
        <v>0</v>
      </c>
      <c r="W28" s="184">
        <v>0</v>
      </c>
      <c r="X28" s="183">
        <v>0</v>
      </c>
      <c r="Y28" s="184">
        <v>0</v>
      </c>
      <c r="Z28" s="183">
        <v>0</v>
      </c>
      <c r="AA28" s="184">
        <v>0</v>
      </c>
      <c r="AB28" s="183">
        <v>0</v>
      </c>
      <c r="AC28" s="184">
        <v>0</v>
      </c>
      <c r="AD28" s="183">
        <v>0</v>
      </c>
      <c r="AE28" s="184">
        <v>0</v>
      </c>
      <c r="AF28" s="183">
        <v>0</v>
      </c>
      <c r="AG28" s="184">
        <v>0</v>
      </c>
    </row>
    <row r="29" spans="1:33" s="1" customFormat="1" x14ac:dyDescent="0.15">
      <c r="A29" s="591" t="s">
        <v>201</v>
      </c>
      <c r="B29" s="10"/>
      <c r="C29" s="10" t="s">
        <v>318</v>
      </c>
      <c r="D29" s="221">
        <v>0</v>
      </c>
      <c r="E29" s="184">
        <v>0</v>
      </c>
      <c r="F29" s="183">
        <v>0</v>
      </c>
      <c r="G29" s="184">
        <v>0</v>
      </c>
      <c r="H29" s="183">
        <v>0</v>
      </c>
      <c r="I29" s="184">
        <v>0</v>
      </c>
      <c r="J29" s="183">
        <v>0</v>
      </c>
      <c r="K29" s="184">
        <v>0</v>
      </c>
      <c r="L29" s="183">
        <v>0</v>
      </c>
      <c r="M29" s="184">
        <v>0</v>
      </c>
      <c r="N29" s="183">
        <v>0</v>
      </c>
      <c r="O29" s="184">
        <v>0</v>
      </c>
      <c r="P29" s="183">
        <v>0</v>
      </c>
      <c r="Q29" s="184">
        <v>0</v>
      </c>
      <c r="R29" s="183">
        <v>0</v>
      </c>
      <c r="S29" s="184">
        <v>0</v>
      </c>
      <c r="T29" s="183">
        <v>0</v>
      </c>
      <c r="U29" s="184">
        <v>0</v>
      </c>
      <c r="V29" s="183">
        <v>0</v>
      </c>
      <c r="W29" s="184">
        <v>0</v>
      </c>
      <c r="X29" s="183">
        <v>0</v>
      </c>
      <c r="Y29" s="184">
        <v>0</v>
      </c>
      <c r="Z29" s="183">
        <v>0</v>
      </c>
      <c r="AA29" s="184">
        <v>0</v>
      </c>
      <c r="AB29" s="183">
        <v>0</v>
      </c>
      <c r="AC29" s="184">
        <v>0</v>
      </c>
      <c r="AD29" s="183">
        <v>0</v>
      </c>
      <c r="AE29" s="184">
        <v>0</v>
      </c>
      <c r="AF29" s="183">
        <v>0</v>
      </c>
      <c r="AG29" s="184">
        <v>0</v>
      </c>
    </row>
    <row r="30" spans="1:33" s="1" customFormat="1" x14ac:dyDescent="0.15">
      <c r="A30" s="591" t="s">
        <v>202</v>
      </c>
      <c r="B30" s="10"/>
      <c r="C30" s="10" t="s">
        <v>317</v>
      </c>
      <c r="D30" s="221">
        <v>0</v>
      </c>
      <c r="E30" s="184">
        <v>0</v>
      </c>
      <c r="F30" s="183">
        <v>0</v>
      </c>
      <c r="G30" s="184">
        <v>0</v>
      </c>
      <c r="H30" s="183">
        <v>0</v>
      </c>
      <c r="I30" s="184">
        <v>0</v>
      </c>
      <c r="J30" s="183">
        <v>0</v>
      </c>
      <c r="K30" s="184">
        <v>0</v>
      </c>
      <c r="L30" s="183">
        <v>0</v>
      </c>
      <c r="M30" s="184">
        <v>0</v>
      </c>
      <c r="N30" s="183">
        <v>0</v>
      </c>
      <c r="O30" s="184">
        <v>0</v>
      </c>
      <c r="P30" s="183">
        <v>0</v>
      </c>
      <c r="Q30" s="184">
        <v>0</v>
      </c>
      <c r="R30" s="183">
        <v>0</v>
      </c>
      <c r="S30" s="184">
        <v>0</v>
      </c>
      <c r="T30" s="183">
        <v>0</v>
      </c>
      <c r="U30" s="184">
        <v>0</v>
      </c>
      <c r="V30" s="183">
        <v>0</v>
      </c>
      <c r="W30" s="184">
        <v>0</v>
      </c>
      <c r="X30" s="183">
        <v>0</v>
      </c>
      <c r="Y30" s="184">
        <v>0</v>
      </c>
      <c r="Z30" s="183">
        <v>0</v>
      </c>
      <c r="AA30" s="184">
        <v>0</v>
      </c>
      <c r="AB30" s="183">
        <v>0</v>
      </c>
      <c r="AC30" s="184">
        <v>0</v>
      </c>
      <c r="AD30" s="183">
        <v>0</v>
      </c>
      <c r="AE30" s="184">
        <v>0</v>
      </c>
      <c r="AF30" s="183">
        <v>0</v>
      </c>
      <c r="AG30" s="184">
        <v>0</v>
      </c>
    </row>
    <row r="31" spans="1:33" s="1" customFormat="1" x14ac:dyDescent="0.15">
      <c r="A31" s="591" t="s">
        <v>203</v>
      </c>
      <c r="B31" s="10"/>
      <c r="C31" s="10" t="s">
        <v>319</v>
      </c>
      <c r="D31" s="221">
        <v>0</v>
      </c>
      <c r="E31" s="184">
        <v>0</v>
      </c>
      <c r="F31" s="183">
        <v>0</v>
      </c>
      <c r="G31" s="184">
        <v>0</v>
      </c>
      <c r="H31" s="183">
        <v>0</v>
      </c>
      <c r="I31" s="184">
        <v>0</v>
      </c>
      <c r="J31" s="183">
        <v>0</v>
      </c>
      <c r="K31" s="184">
        <v>0</v>
      </c>
      <c r="L31" s="183">
        <v>0</v>
      </c>
      <c r="M31" s="184">
        <v>0</v>
      </c>
      <c r="N31" s="183">
        <v>0</v>
      </c>
      <c r="O31" s="184">
        <v>0</v>
      </c>
      <c r="P31" s="183">
        <v>0</v>
      </c>
      <c r="Q31" s="184">
        <v>0</v>
      </c>
      <c r="R31" s="183">
        <v>0</v>
      </c>
      <c r="S31" s="184">
        <v>0</v>
      </c>
      <c r="T31" s="183">
        <v>0</v>
      </c>
      <c r="U31" s="184">
        <v>0</v>
      </c>
      <c r="V31" s="183">
        <v>0</v>
      </c>
      <c r="W31" s="184">
        <v>0</v>
      </c>
      <c r="X31" s="183">
        <v>0</v>
      </c>
      <c r="Y31" s="184">
        <v>0</v>
      </c>
      <c r="Z31" s="183">
        <v>0</v>
      </c>
      <c r="AA31" s="184">
        <v>0</v>
      </c>
      <c r="AB31" s="183">
        <v>0</v>
      </c>
      <c r="AC31" s="184">
        <v>0</v>
      </c>
      <c r="AD31" s="183">
        <v>0</v>
      </c>
      <c r="AE31" s="184">
        <v>0</v>
      </c>
      <c r="AF31" s="183">
        <v>0</v>
      </c>
      <c r="AG31" s="184">
        <v>0</v>
      </c>
    </row>
    <row r="32" spans="1:33" s="1" customFormat="1" x14ac:dyDescent="0.15">
      <c r="A32" s="591" t="s">
        <v>204</v>
      </c>
      <c r="B32" s="10"/>
      <c r="C32" s="10" t="s">
        <v>320</v>
      </c>
      <c r="D32" s="221">
        <v>0</v>
      </c>
      <c r="E32" s="184">
        <v>0</v>
      </c>
      <c r="F32" s="183">
        <v>0</v>
      </c>
      <c r="G32" s="184">
        <v>0</v>
      </c>
      <c r="H32" s="183">
        <v>0</v>
      </c>
      <c r="I32" s="184">
        <v>0</v>
      </c>
      <c r="J32" s="183">
        <v>0</v>
      </c>
      <c r="K32" s="184">
        <v>0</v>
      </c>
      <c r="L32" s="183">
        <v>0</v>
      </c>
      <c r="M32" s="184">
        <v>0</v>
      </c>
      <c r="N32" s="183">
        <v>0</v>
      </c>
      <c r="O32" s="184">
        <v>0</v>
      </c>
      <c r="P32" s="183">
        <v>0</v>
      </c>
      <c r="Q32" s="184">
        <v>0</v>
      </c>
      <c r="R32" s="183">
        <v>0</v>
      </c>
      <c r="S32" s="184">
        <v>0</v>
      </c>
      <c r="T32" s="183">
        <v>0</v>
      </c>
      <c r="U32" s="184">
        <v>0</v>
      </c>
      <c r="V32" s="183">
        <v>0</v>
      </c>
      <c r="W32" s="184">
        <v>0</v>
      </c>
      <c r="X32" s="183">
        <v>0</v>
      </c>
      <c r="Y32" s="184">
        <v>0</v>
      </c>
      <c r="Z32" s="183">
        <v>0</v>
      </c>
      <c r="AA32" s="184">
        <v>0</v>
      </c>
      <c r="AB32" s="183">
        <v>0</v>
      </c>
      <c r="AC32" s="184">
        <v>0</v>
      </c>
      <c r="AD32" s="183">
        <v>0</v>
      </c>
      <c r="AE32" s="184">
        <v>0</v>
      </c>
      <c r="AF32" s="183">
        <v>0</v>
      </c>
      <c r="AG32" s="184">
        <v>0</v>
      </c>
    </row>
    <row r="33" spans="1:33" s="1" customFormat="1" x14ac:dyDescent="0.15">
      <c r="A33" s="592" t="s">
        <v>205</v>
      </c>
      <c r="B33" s="218"/>
      <c r="C33" s="10" t="s">
        <v>321</v>
      </c>
      <c r="D33" s="230">
        <v>0</v>
      </c>
      <c r="E33" s="220">
        <v>0</v>
      </c>
      <c r="F33" s="219">
        <v>0</v>
      </c>
      <c r="G33" s="220">
        <v>0</v>
      </c>
      <c r="H33" s="219">
        <v>0</v>
      </c>
      <c r="I33" s="220">
        <v>0</v>
      </c>
      <c r="J33" s="219">
        <v>0</v>
      </c>
      <c r="K33" s="220">
        <v>0</v>
      </c>
      <c r="L33" s="219">
        <v>0</v>
      </c>
      <c r="M33" s="220">
        <v>0</v>
      </c>
      <c r="N33" s="219">
        <v>0</v>
      </c>
      <c r="O33" s="220">
        <v>0</v>
      </c>
      <c r="P33" s="219">
        <v>0</v>
      </c>
      <c r="Q33" s="220">
        <v>0</v>
      </c>
      <c r="R33" s="219">
        <v>0</v>
      </c>
      <c r="S33" s="220">
        <v>0</v>
      </c>
      <c r="T33" s="219">
        <v>0</v>
      </c>
      <c r="U33" s="220">
        <v>0</v>
      </c>
      <c r="V33" s="219">
        <v>0</v>
      </c>
      <c r="W33" s="220">
        <v>0</v>
      </c>
      <c r="X33" s="219">
        <v>0</v>
      </c>
      <c r="Y33" s="220">
        <v>0</v>
      </c>
      <c r="Z33" s="219">
        <v>0</v>
      </c>
      <c r="AA33" s="220">
        <v>0</v>
      </c>
      <c r="AB33" s="219">
        <v>0</v>
      </c>
      <c r="AC33" s="220">
        <v>0</v>
      </c>
      <c r="AD33" s="219">
        <v>0</v>
      </c>
      <c r="AE33" s="220">
        <v>0</v>
      </c>
      <c r="AF33" s="219">
        <v>0</v>
      </c>
      <c r="AG33" s="220">
        <v>0</v>
      </c>
    </row>
    <row r="34" spans="1:33" s="1" customFormat="1" x14ac:dyDescent="0.15">
      <c r="A34" s="11" t="s">
        <v>123</v>
      </c>
      <c r="B34" s="9"/>
      <c r="C34" s="9" t="s">
        <v>301</v>
      </c>
      <c r="D34" s="228">
        <v>0</v>
      </c>
      <c r="E34" s="196">
        <v>0</v>
      </c>
      <c r="F34" s="195">
        <v>0</v>
      </c>
      <c r="G34" s="196">
        <v>0</v>
      </c>
      <c r="H34" s="195">
        <v>0</v>
      </c>
      <c r="I34" s="196">
        <v>0</v>
      </c>
      <c r="J34" s="195">
        <v>0</v>
      </c>
      <c r="K34" s="196">
        <v>0</v>
      </c>
      <c r="L34" s="195">
        <v>0</v>
      </c>
      <c r="M34" s="196">
        <v>0</v>
      </c>
      <c r="N34" s="195">
        <v>0</v>
      </c>
      <c r="O34" s="196">
        <v>0</v>
      </c>
      <c r="P34" s="195">
        <v>0</v>
      </c>
      <c r="Q34" s="196">
        <v>0</v>
      </c>
      <c r="R34" s="195">
        <v>0</v>
      </c>
      <c r="S34" s="196">
        <v>0</v>
      </c>
      <c r="T34" s="195">
        <v>0</v>
      </c>
      <c r="U34" s="196">
        <v>0</v>
      </c>
      <c r="V34" s="195">
        <v>0</v>
      </c>
      <c r="W34" s="196">
        <v>0</v>
      </c>
      <c r="X34" s="195">
        <v>0</v>
      </c>
      <c r="Y34" s="196">
        <v>0</v>
      </c>
      <c r="Z34" s="195">
        <v>0</v>
      </c>
      <c r="AA34" s="196">
        <v>0</v>
      </c>
      <c r="AB34" s="195">
        <v>0</v>
      </c>
      <c r="AC34" s="196">
        <v>0</v>
      </c>
      <c r="AD34" s="195">
        <v>0</v>
      </c>
      <c r="AE34" s="196">
        <v>0</v>
      </c>
      <c r="AF34" s="195">
        <v>0</v>
      </c>
      <c r="AG34" s="196">
        <v>0</v>
      </c>
    </row>
    <row r="35" spans="1:33" s="1" customFormat="1" ht="15" thickBot="1" x14ac:dyDescent="0.2">
      <c r="A35" s="12" t="s">
        <v>12</v>
      </c>
      <c r="B35" s="4"/>
      <c r="C35" s="4" t="s">
        <v>302</v>
      </c>
      <c r="D35" s="197">
        <v>0</v>
      </c>
      <c r="E35" s="186">
        <v>0</v>
      </c>
      <c r="F35" s="197">
        <v>0</v>
      </c>
      <c r="G35" s="186">
        <v>0</v>
      </c>
      <c r="H35" s="197">
        <v>0</v>
      </c>
      <c r="I35" s="186">
        <v>0</v>
      </c>
      <c r="J35" s="197">
        <v>0</v>
      </c>
      <c r="K35" s="186">
        <v>0</v>
      </c>
      <c r="L35" s="197">
        <v>0</v>
      </c>
      <c r="M35" s="186">
        <v>0</v>
      </c>
      <c r="N35" s="197">
        <v>0</v>
      </c>
      <c r="O35" s="186">
        <v>0</v>
      </c>
      <c r="P35" s="197">
        <v>0</v>
      </c>
      <c r="Q35" s="186">
        <v>0</v>
      </c>
      <c r="R35" s="197">
        <f t="shared" ref="R35" si="9">R50+R55</f>
        <v>0</v>
      </c>
      <c r="S35" s="186">
        <v>0</v>
      </c>
      <c r="T35" s="197">
        <v>0</v>
      </c>
      <c r="U35" s="186">
        <v>0</v>
      </c>
      <c r="V35" s="197">
        <v>0</v>
      </c>
      <c r="W35" s="186">
        <v>0</v>
      </c>
      <c r="X35" s="197">
        <v>0</v>
      </c>
      <c r="Y35" s="186">
        <v>0</v>
      </c>
      <c r="Z35" s="197">
        <v>0</v>
      </c>
      <c r="AA35" s="186">
        <v>0</v>
      </c>
      <c r="AB35" s="197">
        <v>0</v>
      </c>
      <c r="AC35" s="186">
        <v>0</v>
      </c>
      <c r="AD35" s="197">
        <v>0</v>
      </c>
      <c r="AE35" s="186">
        <v>0</v>
      </c>
      <c r="AF35" s="197">
        <v>0</v>
      </c>
      <c r="AG35" s="186">
        <v>0</v>
      </c>
    </row>
    <row r="36" spans="1:33" ht="15" thickBot="1" x14ac:dyDescent="0.2">
      <c r="A36" s="38" t="s">
        <v>133</v>
      </c>
    </row>
    <row r="37" spans="1:33" ht="15" thickBot="1" x14ac:dyDescent="0.2">
      <c r="A37" s="23" t="s">
        <v>22</v>
      </c>
      <c r="B37" s="27" t="s">
        <v>31</v>
      </c>
      <c r="C37" s="24" t="s">
        <v>298</v>
      </c>
      <c r="D37" s="25">
        <f>SUM(D46:D55)+D40+D43-D39-D42</f>
        <v>28210</v>
      </c>
      <c r="E37" s="26">
        <f>SUM(E46:E55)+E40+E43-E39-E42</f>
        <v>28210</v>
      </c>
      <c r="F37" s="25">
        <f t="shared" ref="F37:AG37" si="10">SUM(F46:F55)+F40+F43-F39-F42</f>
        <v>30000</v>
      </c>
      <c r="G37" s="26">
        <f t="shared" si="10"/>
        <v>20209</v>
      </c>
      <c r="H37" s="25">
        <f>SUM(H46:H55)+H40+H43</f>
        <v>41137</v>
      </c>
      <c r="I37" s="26">
        <f t="shared" si="10"/>
        <v>45226</v>
      </c>
      <c r="J37" s="25">
        <f t="shared" si="10"/>
        <v>46348</v>
      </c>
      <c r="K37" s="26">
        <f t="shared" si="10"/>
        <v>42165</v>
      </c>
      <c r="L37" s="25">
        <f t="shared" si="10"/>
        <v>45352.96961349</v>
      </c>
      <c r="M37" s="26">
        <f t="shared" si="10"/>
        <v>41536</v>
      </c>
      <c r="N37" s="25">
        <f t="shared" si="10"/>
        <v>53750</v>
      </c>
      <c r="O37" s="26">
        <f t="shared" si="10"/>
        <v>48083</v>
      </c>
      <c r="P37" s="25">
        <f t="shared" si="10"/>
        <v>60040</v>
      </c>
      <c r="Q37" s="26">
        <f t="shared" si="10"/>
        <v>42049</v>
      </c>
      <c r="R37" s="25">
        <f t="shared" si="10"/>
        <v>53736</v>
      </c>
      <c r="S37" s="26">
        <f t="shared" si="10"/>
        <v>50313</v>
      </c>
      <c r="T37" s="25">
        <f t="shared" si="10"/>
        <v>49387</v>
      </c>
      <c r="U37" s="26">
        <f>SUM(U46:U55)+U40+U43-U39-U42</f>
        <v>50858</v>
      </c>
      <c r="V37" s="25">
        <f t="shared" si="10"/>
        <v>0</v>
      </c>
      <c r="W37" s="26">
        <f t="shared" si="10"/>
        <v>0</v>
      </c>
      <c r="X37" s="25">
        <f t="shared" si="10"/>
        <v>0</v>
      </c>
      <c r="Y37" s="26">
        <f t="shared" si="10"/>
        <v>0</v>
      </c>
      <c r="Z37" s="25">
        <f t="shared" si="10"/>
        <v>0</v>
      </c>
      <c r="AA37" s="26">
        <f t="shared" si="10"/>
        <v>0</v>
      </c>
      <c r="AB37" s="25">
        <f t="shared" si="10"/>
        <v>0</v>
      </c>
      <c r="AC37" s="26">
        <f t="shared" si="10"/>
        <v>0</v>
      </c>
      <c r="AD37" s="25">
        <f t="shared" si="10"/>
        <v>0</v>
      </c>
      <c r="AE37" s="26">
        <f t="shared" si="10"/>
        <v>0</v>
      </c>
      <c r="AF37" s="25">
        <f t="shared" si="10"/>
        <v>0</v>
      </c>
      <c r="AG37" s="26">
        <f t="shared" si="10"/>
        <v>0</v>
      </c>
    </row>
    <row r="38" spans="1:33" hidden="1" x14ac:dyDescent="0.15">
      <c r="A38" s="2" t="s">
        <v>546</v>
      </c>
      <c r="B38" s="10" t="s">
        <v>29</v>
      </c>
      <c r="C38" s="8" t="s">
        <v>424</v>
      </c>
      <c r="D38" s="418">
        <v>0</v>
      </c>
      <c r="E38" s="417">
        <v>0</v>
      </c>
      <c r="F38" s="418">
        <v>0</v>
      </c>
      <c r="G38" s="417">
        <v>0</v>
      </c>
      <c r="H38" s="418">
        <v>0</v>
      </c>
      <c r="I38" s="417">
        <v>0</v>
      </c>
      <c r="J38" s="418">
        <v>0</v>
      </c>
      <c r="K38" s="417">
        <v>0</v>
      </c>
      <c r="L38" s="418">
        <v>0</v>
      </c>
      <c r="M38" s="417">
        <v>0</v>
      </c>
      <c r="N38" s="418">
        <v>0</v>
      </c>
      <c r="O38" s="417">
        <v>0</v>
      </c>
      <c r="P38" s="418">
        <v>0</v>
      </c>
      <c r="Q38" s="417">
        <v>0</v>
      </c>
      <c r="R38" s="418">
        <v>0</v>
      </c>
      <c r="S38" s="417">
        <v>0</v>
      </c>
      <c r="T38" s="418">
        <v>0</v>
      </c>
      <c r="U38" s="417">
        <v>0</v>
      </c>
      <c r="V38" s="416">
        <v>0</v>
      </c>
      <c r="W38" s="416">
        <v>0</v>
      </c>
      <c r="X38" s="418">
        <v>0</v>
      </c>
      <c r="Y38" s="417">
        <v>0</v>
      </c>
      <c r="Z38" s="416">
        <v>0</v>
      </c>
      <c r="AA38" s="416">
        <v>0</v>
      </c>
      <c r="AB38" s="418">
        <v>0</v>
      </c>
      <c r="AC38" s="417">
        <v>0</v>
      </c>
      <c r="AD38" s="416">
        <v>0</v>
      </c>
      <c r="AE38" s="416">
        <v>0</v>
      </c>
      <c r="AF38" s="418">
        <v>0</v>
      </c>
      <c r="AG38" s="417">
        <v>0</v>
      </c>
    </row>
    <row r="39" spans="1:33" hidden="1" x14ac:dyDescent="0.15">
      <c r="A39" s="11" t="s">
        <v>422</v>
      </c>
      <c r="B39" s="9" t="s">
        <v>29</v>
      </c>
      <c r="C39" s="443" t="s">
        <v>425</v>
      </c>
      <c r="D39" s="434">
        <v>0</v>
      </c>
      <c r="E39" s="435">
        <v>0</v>
      </c>
      <c r="F39" s="434">
        <v>0</v>
      </c>
      <c r="G39" s="435">
        <v>0</v>
      </c>
      <c r="H39" s="434">
        <v>0</v>
      </c>
      <c r="I39" s="435">
        <v>0</v>
      </c>
      <c r="J39" s="434">
        <v>0</v>
      </c>
      <c r="K39" s="435">
        <v>0</v>
      </c>
      <c r="L39" s="434">
        <v>0</v>
      </c>
      <c r="M39" s="435">
        <v>0</v>
      </c>
      <c r="N39" s="434">
        <v>0</v>
      </c>
      <c r="O39" s="435">
        <v>0</v>
      </c>
      <c r="P39" s="434">
        <v>0</v>
      </c>
      <c r="Q39" s="435">
        <v>0</v>
      </c>
      <c r="R39" s="434">
        <v>0</v>
      </c>
      <c r="S39" s="435">
        <v>0</v>
      </c>
      <c r="T39" s="434">
        <v>0</v>
      </c>
      <c r="U39" s="435">
        <v>0</v>
      </c>
      <c r="V39" s="436">
        <v>0</v>
      </c>
      <c r="W39" s="436">
        <v>0</v>
      </c>
      <c r="X39" s="434">
        <v>0</v>
      </c>
      <c r="Y39" s="435">
        <v>0</v>
      </c>
      <c r="Z39" s="436">
        <v>0</v>
      </c>
      <c r="AA39" s="436">
        <v>0</v>
      </c>
      <c r="AB39" s="434">
        <v>0</v>
      </c>
      <c r="AC39" s="435">
        <v>0</v>
      </c>
      <c r="AD39" s="436">
        <v>0</v>
      </c>
      <c r="AE39" s="436">
        <v>0</v>
      </c>
      <c r="AF39" s="434">
        <v>0</v>
      </c>
      <c r="AG39" s="435">
        <v>0</v>
      </c>
    </row>
    <row r="40" spans="1:33" hidden="1" x14ac:dyDescent="0.15">
      <c r="A40" s="11" t="s">
        <v>423</v>
      </c>
      <c r="B40" s="9" t="s">
        <v>29</v>
      </c>
      <c r="C40" s="443" t="s">
        <v>426</v>
      </c>
      <c r="D40" s="438">
        <f>D38-D39</f>
        <v>0</v>
      </c>
      <c r="E40" s="439">
        <f>E38-E39</f>
        <v>0</v>
      </c>
      <c r="F40" s="438">
        <f t="shared" ref="F40:AA40" si="11">F38-F39</f>
        <v>0</v>
      </c>
      <c r="G40" s="439">
        <f t="shared" si="11"/>
        <v>0</v>
      </c>
      <c r="H40" s="437">
        <f t="shared" si="11"/>
        <v>0</v>
      </c>
      <c r="I40" s="437">
        <f t="shared" si="11"/>
        <v>0</v>
      </c>
      <c r="J40" s="438">
        <f t="shared" si="11"/>
        <v>0</v>
      </c>
      <c r="K40" s="437">
        <f t="shared" si="11"/>
        <v>0</v>
      </c>
      <c r="L40" s="438">
        <f t="shared" si="11"/>
        <v>0</v>
      </c>
      <c r="M40" s="439">
        <f t="shared" si="11"/>
        <v>0</v>
      </c>
      <c r="N40" s="438">
        <f t="shared" si="11"/>
        <v>0</v>
      </c>
      <c r="O40" s="437">
        <f t="shared" si="11"/>
        <v>0</v>
      </c>
      <c r="P40" s="438">
        <f t="shared" si="11"/>
        <v>0</v>
      </c>
      <c r="Q40" s="439">
        <f t="shared" si="11"/>
        <v>0</v>
      </c>
      <c r="R40" s="437">
        <f t="shared" si="11"/>
        <v>0</v>
      </c>
      <c r="S40" s="437">
        <f t="shared" si="11"/>
        <v>0</v>
      </c>
      <c r="T40" s="438">
        <f t="shared" si="11"/>
        <v>0</v>
      </c>
      <c r="U40" s="439">
        <f t="shared" si="11"/>
        <v>0</v>
      </c>
      <c r="V40" s="437">
        <f t="shared" si="11"/>
        <v>0</v>
      </c>
      <c r="W40" s="437">
        <f t="shared" si="11"/>
        <v>0</v>
      </c>
      <c r="X40" s="438">
        <f t="shared" si="11"/>
        <v>0</v>
      </c>
      <c r="Y40" s="439">
        <f t="shared" si="11"/>
        <v>0</v>
      </c>
      <c r="Z40" s="438">
        <f t="shared" si="11"/>
        <v>0</v>
      </c>
      <c r="AA40" s="437">
        <f t="shared" si="11"/>
        <v>0</v>
      </c>
      <c r="AB40" s="438">
        <f t="shared" ref="AB40:AG40" si="12">AB38-AB39</f>
        <v>0</v>
      </c>
      <c r="AC40" s="439">
        <f t="shared" si="12"/>
        <v>0</v>
      </c>
      <c r="AD40" s="438">
        <f t="shared" si="12"/>
        <v>0</v>
      </c>
      <c r="AE40" s="437">
        <f t="shared" si="12"/>
        <v>0</v>
      </c>
      <c r="AF40" s="438">
        <f t="shared" si="12"/>
        <v>0</v>
      </c>
      <c r="AG40" s="439">
        <f t="shared" si="12"/>
        <v>0</v>
      </c>
    </row>
    <row r="41" spans="1:33" hidden="1" x14ac:dyDescent="0.15">
      <c r="A41" s="2" t="s">
        <v>547</v>
      </c>
      <c r="B41" s="10" t="s">
        <v>29</v>
      </c>
      <c r="C41" s="8" t="s">
        <v>427</v>
      </c>
      <c r="D41" s="418">
        <v>0</v>
      </c>
      <c r="E41" s="417">
        <v>0</v>
      </c>
      <c r="F41" s="418">
        <v>0</v>
      </c>
      <c r="G41" s="417">
        <v>0</v>
      </c>
      <c r="H41" s="416">
        <v>0</v>
      </c>
      <c r="I41" s="416">
        <v>0</v>
      </c>
      <c r="J41" s="418">
        <v>0</v>
      </c>
      <c r="K41" s="416">
        <v>0</v>
      </c>
      <c r="L41" s="418">
        <v>0</v>
      </c>
      <c r="M41" s="417">
        <v>0</v>
      </c>
      <c r="N41" s="416">
        <v>0</v>
      </c>
      <c r="O41" s="416">
        <v>0</v>
      </c>
      <c r="P41" s="418">
        <v>0</v>
      </c>
      <c r="Q41" s="417">
        <v>0</v>
      </c>
      <c r="R41" s="416">
        <v>0</v>
      </c>
      <c r="S41" s="416">
        <v>0</v>
      </c>
      <c r="T41" s="418">
        <v>0</v>
      </c>
      <c r="U41" s="417">
        <v>0</v>
      </c>
      <c r="V41" s="416">
        <v>0</v>
      </c>
      <c r="W41" s="416">
        <v>0</v>
      </c>
      <c r="X41" s="418">
        <v>0</v>
      </c>
      <c r="Y41" s="417">
        <v>0</v>
      </c>
      <c r="Z41" s="416">
        <v>0</v>
      </c>
      <c r="AA41" s="416">
        <v>0</v>
      </c>
      <c r="AB41" s="418">
        <v>0</v>
      </c>
      <c r="AC41" s="417">
        <v>0</v>
      </c>
      <c r="AD41" s="416">
        <v>0</v>
      </c>
      <c r="AE41" s="416">
        <v>0</v>
      </c>
      <c r="AF41" s="418">
        <v>0</v>
      </c>
      <c r="AG41" s="417">
        <v>0</v>
      </c>
    </row>
    <row r="42" spans="1:33" hidden="1" x14ac:dyDescent="0.15">
      <c r="A42" s="11" t="s">
        <v>422</v>
      </c>
      <c r="B42" s="9" t="s">
        <v>29</v>
      </c>
      <c r="C42" s="443" t="s">
        <v>428</v>
      </c>
      <c r="D42" s="434">
        <v>0</v>
      </c>
      <c r="E42" s="435">
        <v>0</v>
      </c>
      <c r="F42" s="434">
        <v>0</v>
      </c>
      <c r="G42" s="435">
        <v>0</v>
      </c>
      <c r="H42" s="436">
        <v>0</v>
      </c>
      <c r="I42" s="436">
        <v>0</v>
      </c>
      <c r="J42" s="434">
        <v>0</v>
      </c>
      <c r="K42" s="436">
        <v>0</v>
      </c>
      <c r="L42" s="434">
        <v>0</v>
      </c>
      <c r="M42" s="435">
        <v>0</v>
      </c>
      <c r="N42" s="436">
        <v>0</v>
      </c>
      <c r="O42" s="436">
        <v>0</v>
      </c>
      <c r="P42" s="434">
        <v>0</v>
      </c>
      <c r="Q42" s="435">
        <v>0</v>
      </c>
      <c r="R42" s="436">
        <v>0</v>
      </c>
      <c r="S42" s="436">
        <v>0</v>
      </c>
      <c r="T42" s="434">
        <v>0</v>
      </c>
      <c r="U42" s="435">
        <v>0</v>
      </c>
      <c r="V42" s="436">
        <v>0</v>
      </c>
      <c r="W42" s="436">
        <v>0</v>
      </c>
      <c r="X42" s="434">
        <v>0</v>
      </c>
      <c r="Y42" s="435">
        <v>0</v>
      </c>
      <c r="Z42" s="436">
        <v>0</v>
      </c>
      <c r="AA42" s="436">
        <v>0</v>
      </c>
      <c r="AB42" s="434">
        <v>0</v>
      </c>
      <c r="AC42" s="435">
        <v>0</v>
      </c>
      <c r="AD42" s="436">
        <v>0</v>
      </c>
      <c r="AE42" s="436">
        <v>0</v>
      </c>
      <c r="AF42" s="434">
        <v>0</v>
      </c>
      <c r="AG42" s="435">
        <v>0</v>
      </c>
    </row>
    <row r="43" spans="1:33" ht="15" hidden="1" thickBot="1" x14ac:dyDescent="0.2">
      <c r="A43" s="11" t="s">
        <v>423</v>
      </c>
      <c r="B43" s="9" t="s">
        <v>29</v>
      </c>
      <c r="C43" s="443" t="s">
        <v>429</v>
      </c>
      <c r="D43" s="438">
        <f>D41-D42</f>
        <v>0</v>
      </c>
      <c r="E43" s="439">
        <f>E41-E42</f>
        <v>0</v>
      </c>
      <c r="F43" s="438">
        <f t="shared" ref="F43:AA43" si="13">F41-F42</f>
        <v>0</v>
      </c>
      <c r="G43" s="439">
        <f t="shared" si="13"/>
        <v>0</v>
      </c>
      <c r="H43" s="437">
        <f t="shared" si="13"/>
        <v>0</v>
      </c>
      <c r="I43" s="437">
        <f t="shared" si="13"/>
        <v>0</v>
      </c>
      <c r="J43" s="438">
        <f t="shared" si="13"/>
        <v>0</v>
      </c>
      <c r="K43" s="437">
        <f t="shared" si="13"/>
        <v>0</v>
      </c>
      <c r="L43" s="438">
        <f t="shared" si="13"/>
        <v>0</v>
      </c>
      <c r="M43" s="439">
        <f t="shared" si="13"/>
        <v>0</v>
      </c>
      <c r="N43" s="438">
        <f t="shared" si="13"/>
        <v>0</v>
      </c>
      <c r="O43" s="437">
        <f t="shared" si="13"/>
        <v>0</v>
      </c>
      <c r="P43" s="438">
        <f t="shared" si="13"/>
        <v>0</v>
      </c>
      <c r="Q43" s="439">
        <f t="shared" si="13"/>
        <v>0</v>
      </c>
      <c r="R43" s="437">
        <f t="shared" si="13"/>
        <v>0</v>
      </c>
      <c r="S43" s="437">
        <f t="shared" si="13"/>
        <v>0</v>
      </c>
      <c r="T43" s="438">
        <f t="shared" si="13"/>
        <v>0</v>
      </c>
      <c r="U43" s="439">
        <f t="shared" si="13"/>
        <v>0</v>
      </c>
      <c r="V43" s="437">
        <f t="shared" si="13"/>
        <v>0</v>
      </c>
      <c r="W43" s="437">
        <f t="shared" si="13"/>
        <v>0</v>
      </c>
      <c r="X43" s="438">
        <f t="shared" si="13"/>
        <v>0</v>
      </c>
      <c r="Y43" s="439">
        <f t="shared" si="13"/>
        <v>0</v>
      </c>
      <c r="Z43" s="438">
        <f t="shared" si="13"/>
        <v>0</v>
      </c>
      <c r="AA43" s="437">
        <f t="shared" si="13"/>
        <v>0</v>
      </c>
      <c r="AB43" s="438">
        <f t="shared" ref="AB43:AG43" si="14">AB41-AB42</f>
        <v>0</v>
      </c>
      <c r="AC43" s="439">
        <f t="shared" si="14"/>
        <v>0</v>
      </c>
      <c r="AD43" s="438">
        <f t="shared" si="14"/>
        <v>0</v>
      </c>
      <c r="AE43" s="437">
        <f t="shared" si="14"/>
        <v>0</v>
      </c>
      <c r="AF43" s="438">
        <f t="shared" si="14"/>
        <v>0</v>
      </c>
      <c r="AG43" s="439">
        <f t="shared" si="14"/>
        <v>0</v>
      </c>
    </row>
    <row r="44" spans="1:33" x14ac:dyDescent="0.15">
      <c r="A44" s="407" t="s">
        <v>542</v>
      </c>
      <c r="B44" s="10"/>
      <c r="C44" s="8" t="s">
        <v>548</v>
      </c>
      <c r="D44" s="643">
        <v>28210</v>
      </c>
      <c r="E44" s="644">
        <v>28210</v>
      </c>
      <c r="F44" s="643">
        <v>30000</v>
      </c>
      <c r="G44" s="644">
        <v>20209</v>
      </c>
      <c r="H44" s="643">
        <v>41137</v>
      </c>
      <c r="I44" s="644">
        <v>45226</v>
      </c>
      <c r="J44" s="645">
        <v>46348</v>
      </c>
      <c r="K44" s="645">
        <v>42165</v>
      </c>
      <c r="L44" s="643">
        <v>45353</v>
      </c>
      <c r="M44" s="644">
        <v>41536</v>
      </c>
      <c r="N44" s="645">
        <v>53750</v>
      </c>
      <c r="O44" s="645">
        <v>48083</v>
      </c>
      <c r="P44" s="643">
        <v>60040</v>
      </c>
      <c r="Q44" s="644">
        <v>42049</v>
      </c>
      <c r="R44" s="645">
        <v>53736</v>
      </c>
      <c r="S44" s="644">
        <v>50313</v>
      </c>
      <c r="T44" s="645">
        <v>49387</v>
      </c>
      <c r="U44" s="417">
        <v>50858</v>
      </c>
      <c r="V44" s="416">
        <v>0</v>
      </c>
      <c r="W44" s="416">
        <v>0</v>
      </c>
      <c r="X44" s="418">
        <v>0</v>
      </c>
      <c r="Y44" s="417">
        <v>0</v>
      </c>
      <c r="Z44" s="418">
        <v>0</v>
      </c>
      <c r="AA44" s="416">
        <v>0</v>
      </c>
      <c r="AB44" s="418">
        <v>0</v>
      </c>
      <c r="AC44" s="417">
        <v>0</v>
      </c>
      <c r="AD44" s="418">
        <v>0</v>
      </c>
      <c r="AE44" s="416">
        <v>0</v>
      </c>
      <c r="AF44" s="418">
        <v>0</v>
      </c>
      <c r="AG44" s="417">
        <v>0</v>
      </c>
    </row>
    <row r="45" spans="1:33" x14ac:dyDescent="0.15">
      <c r="A45" s="407"/>
      <c r="B45" s="9"/>
      <c r="C45" s="443"/>
      <c r="D45" s="434">
        <v>0</v>
      </c>
      <c r="E45" s="436">
        <v>0</v>
      </c>
      <c r="F45" s="434">
        <v>0</v>
      </c>
      <c r="G45" s="436">
        <v>0</v>
      </c>
      <c r="H45" s="434">
        <v>0</v>
      </c>
      <c r="I45" s="436">
        <v>0</v>
      </c>
      <c r="J45" s="434">
        <v>0</v>
      </c>
      <c r="K45" s="436">
        <v>0</v>
      </c>
      <c r="L45" s="434">
        <v>0</v>
      </c>
      <c r="M45" s="435">
        <v>0</v>
      </c>
      <c r="N45" s="434">
        <v>0</v>
      </c>
      <c r="O45" s="436">
        <v>0</v>
      </c>
      <c r="P45" s="434">
        <v>0</v>
      </c>
      <c r="Q45" s="435">
        <v>0</v>
      </c>
      <c r="R45" s="436">
        <v>0</v>
      </c>
      <c r="S45" s="436">
        <v>0</v>
      </c>
      <c r="T45" s="434">
        <v>0</v>
      </c>
      <c r="U45" s="435">
        <v>0</v>
      </c>
      <c r="V45" s="436">
        <v>0</v>
      </c>
      <c r="W45" s="436">
        <v>0</v>
      </c>
      <c r="X45" s="434">
        <v>0</v>
      </c>
      <c r="Y45" s="435">
        <v>0</v>
      </c>
      <c r="Z45" s="434">
        <v>0</v>
      </c>
      <c r="AA45" s="436">
        <v>0</v>
      </c>
      <c r="AB45" s="434">
        <v>0</v>
      </c>
      <c r="AC45" s="435">
        <v>0</v>
      </c>
      <c r="AD45" s="434">
        <v>0</v>
      </c>
      <c r="AE45" s="436">
        <v>0</v>
      </c>
      <c r="AF45" s="434">
        <v>0</v>
      </c>
      <c r="AG45" s="435">
        <v>0</v>
      </c>
    </row>
    <row r="46" spans="1:33" x14ac:dyDescent="0.15">
      <c r="A46" s="18" t="s">
        <v>42</v>
      </c>
      <c r="B46" s="10" t="s">
        <v>26</v>
      </c>
      <c r="C46" s="1" t="s">
        <v>322</v>
      </c>
      <c r="D46" s="21">
        <f>$D$57*D58+$D$68*D69</f>
        <v>28210</v>
      </c>
      <c r="E46" s="22">
        <f>$E$57*E58+$E$68*E69</f>
        <v>28210</v>
      </c>
      <c r="F46" s="442">
        <f>$F$57*F58+$F$68*F69</f>
        <v>30000</v>
      </c>
      <c r="G46" s="22">
        <f>$G$57*G58+$G$68*G69</f>
        <v>20209</v>
      </c>
      <c r="H46" s="442">
        <f>$H$57*H58+$H$68*H69</f>
        <v>41137</v>
      </c>
      <c r="I46" s="22">
        <f>$I$57*I58+$I$68*I69</f>
        <v>45226</v>
      </c>
      <c r="J46" s="442">
        <f>$J$57*J58+$J$68*J69</f>
        <v>46348</v>
      </c>
      <c r="K46" s="22">
        <f>$K$57*K58+$K$68*K69</f>
        <v>42165</v>
      </c>
      <c r="L46" s="442">
        <f>$L$57*L58+$L$68*L69</f>
        <v>37794.166515489997</v>
      </c>
      <c r="M46" s="22">
        <f>$M$57*M58+$M$68*M69</f>
        <v>0</v>
      </c>
      <c r="N46" s="442">
        <f>$N$57*N58+$N$68*N69</f>
        <v>0</v>
      </c>
      <c r="O46" s="22">
        <f>$O$57*O58+$O$68*O69</f>
        <v>0</v>
      </c>
      <c r="P46" s="442">
        <f>$P$57*P58+$P$68*P69</f>
        <v>0</v>
      </c>
      <c r="Q46" s="22">
        <f>$Q$57*Q58+$Q$68*Q69</f>
        <v>0</v>
      </c>
      <c r="R46" s="442">
        <f>$R$57*R58+$R$68*R69</f>
        <v>0</v>
      </c>
      <c r="S46" s="22">
        <f>$S$57*S58+$S$68*S69</f>
        <v>0</v>
      </c>
      <c r="T46" s="442">
        <f>$T$57*T58+$T$68*T69</f>
        <v>0</v>
      </c>
      <c r="U46" s="22">
        <f>$U$57*U58+$U$68*U69</f>
        <v>0</v>
      </c>
      <c r="V46" s="442">
        <f>$V$57*V58+$V$68*V69</f>
        <v>0</v>
      </c>
      <c r="W46" s="22">
        <f>$W$57*W58+$W$68*W69</f>
        <v>0</v>
      </c>
      <c r="X46" s="442">
        <f>$X$57*X58+$X$68*X69</f>
        <v>0</v>
      </c>
      <c r="Y46" s="22">
        <f>$Y$57*Y58+$Y$68*Y69</f>
        <v>0</v>
      </c>
      <c r="Z46" s="442">
        <f>$Z$57*Z58+$Z$68*Z69</f>
        <v>0</v>
      </c>
      <c r="AA46" s="22">
        <f>$AA$57*AA58+$AA$68*AA69</f>
        <v>0</v>
      </c>
      <c r="AB46" s="442">
        <f>$AB$57*AB58+$AB$68*AB69</f>
        <v>0</v>
      </c>
      <c r="AC46" s="22">
        <f>$AC$57*AC58+$AC$68*AC69</f>
        <v>0</v>
      </c>
      <c r="AD46" s="442">
        <f>$AD$57*AD58+$AD$68*AD69</f>
        <v>0</v>
      </c>
      <c r="AE46" s="22">
        <f>$AE$57*AE58+$AE$68*AE69</f>
        <v>0</v>
      </c>
      <c r="AF46" s="442">
        <f>$AF$57*AF58+$AF$68*AF69</f>
        <v>0</v>
      </c>
      <c r="AG46" s="22">
        <f>$AG$57*AG58+$AG$68*AG69</f>
        <v>0</v>
      </c>
    </row>
    <row r="47" spans="1:33" x14ac:dyDescent="0.15">
      <c r="A47" s="15"/>
      <c r="B47" s="10" t="s">
        <v>30</v>
      </c>
      <c r="C47" s="1" t="s">
        <v>323</v>
      </c>
      <c r="D47" s="21">
        <f t="shared" ref="D47:D55" si="15">$D$57*D59+$D$68*D70</f>
        <v>0</v>
      </c>
      <c r="E47" s="22">
        <f t="shared" ref="E47:E55" si="16">$E$57*E59+$E$68*E70</f>
        <v>0</v>
      </c>
      <c r="F47" s="442">
        <f t="shared" ref="F47:F55" si="17">$F$57*F59+$F$68*F70</f>
        <v>0</v>
      </c>
      <c r="G47" s="22">
        <f t="shared" ref="G47:G55" si="18">$G$57*G59+$G$68*G70</f>
        <v>0</v>
      </c>
      <c r="H47" s="442">
        <f t="shared" ref="H47:H55" si="19">$H$57*H59+$H$68*H70</f>
        <v>0</v>
      </c>
      <c r="I47" s="22">
        <f t="shared" ref="I47:I55" si="20">$I$57*I59+$I$68*I70</f>
        <v>0</v>
      </c>
      <c r="J47" s="442">
        <f t="shared" ref="J47:J55" si="21">$J$57*J59+$J$68*J70</f>
        <v>0</v>
      </c>
      <c r="K47" s="22">
        <f t="shared" ref="K47:K55" si="22">$K$57*K59+$K$68*K70</f>
        <v>0</v>
      </c>
      <c r="L47" s="442">
        <f t="shared" ref="L47:L55" si="23">$L$57*L59+$L$68*L70</f>
        <v>0</v>
      </c>
      <c r="M47" s="22">
        <f t="shared" ref="M47:M55" si="24">$M$57*M59+$M$68*M70</f>
        <v>0</v>
      </c>
      <c r="N47" s="442">
        <f t="shared" ref="N47:N55" si="25">$N$57*N59+$N$68*N70</f>
        <v>0</v>
      </c>
      <c r="O47" s="22">
        <f t="shared" ref="O47:O55" si="26">$O$57*O59+$O$68*O70</f>
        <v>0</v>
      </c>
      <c r="P47" s="442">
        <f t="shared" ref="P47:P55" si="27">$P$57*P59+$P$68*P70</f>
        <v>0</v>
      </c>
      <c r="Q47" s="22">
        <f t="shared" ref="Q47:Q55" si="28">$Q$57*Q59+$Q$68*Q70</f>
        <v>0</v>
      </c>
      <c r="R47" s="442">
        <f t="shared" ref="R47:R55" si="29">$R$57*R59+$R$68*R70</f>
        <v>0</v>
      </c>
      <c r="S47" s="22">
        <f t="shared" ref="S47:S55" si="30">$S$57*S59+$S$68*S70</f>
        <v>0</v>
      </c>
      <c r="T47" s="442">
        <f t="shared" ref="T47:T55" si="31">$T$57*T59+$T$68*T70</f>
        <v>0</v>
      </c>
      <c r="U47" s="22">
        <f t="shared" ref="U47:U55" si="32">$U$57*U59+$U$68*U70</f>
        <v>0</v>
      </c>
      <c r="V47" s="442">
        <f t="shared" ref="V47:V55" si="33">$V$57*V59+$V$68*V70</f>
        <v>0</v>
      </c>
      <c r="W47" s="22">
        <f t="shared" ref="W47:W55" si="34">$W$57*W59+$W$68*W70</f>
        <v>0</v>
      </c>
      <c r="X47" s="442">
        <f t="shared" ref="X47:X55" si="35">$X$57*X59+$X$68*X70</f>
        <v>0</v>
      </c>
      <c r="Y47" s="22">
        <f t="shared" ref="Y47:Y55" si="36">$Y$57*Y59+$Y$68*Y70</f>
        <v>0</v>
      </c>
      <c r="Z47" s="442">
        <f t="shared" ref="Z47:Z55" si="37">$Z$57*Z59+$Z$68*Z70</f>
        <v>0</v>
      </c>
      <c r="AA47" s="22">
        <f t="shared" ref="AA47:AA55" si="38">$AA$57*AA59+$AA$68*AA70</f>
        <v>0</v>
      </c>
      <c r="AB47" s="442">
        <f t="shared" ref="AB47:AB55" si="39">$AB$57*AB59+$AB$68*AB70</f>
        <v>0</v>
      </c>
      <c r="AC47" s="22">
        <f t="shared" ref="AC47:AC55" si="40">$AC$57*AC59+$AC$68*AC70</f>
        <v>0</v>
      </c>
      <c r="AD47" s="442">
        <f t="shared" ref="AD47:AD55" si="41">$AD$57*AD59+$AD$68*AD70</f>
        <v>0</v>
      </c>
      <c r="AE47" s="22">
        <f t="shared" ref="AE47:AE55" si="42">$AE$57*AE59+$AE$68*AE70</f>
        <v>0</v>
      </c>
      <c r="AF47" s="442">
        <f t="shared" ref="AF47:AF55" si="43">$AF$57*AF59+$AF$68*AF70</f>
        <v>0</v>
      </c>
      <c r="AG47" s="22">
        <f t="shared" ref="AG47:AG55" si="44">$AG$57*AG59+$AG$68*AG70</f>
        <v>0</v>
      </c>
    </row>
    <row r="48" spans="1:33" x14ac:dyDescent="0.15">
      <c r="A48" s="15"/>
      <c r="B48" s="10" t="s">
        <v>28</v>
      </c>
      <c r="C48" s="1" t="s">
        <v>324</v>
      </c>
      <c r="D48" s="21">
        <f t="shared" si="15"/>
        <v>0</v>
      </c>
      <c r="E48" s="22">
        <f t="shared" si="16"/>
        <v>0</v>
      </c>
      <c r="F48" s="442">
        <f t="shared" si="17"/>
        <v>0</v>
      </c>
      <c r="G48" s="22">
        <f t="shared" si="18"/>
        <v>0</v>
      </c>
      <c r="H48" s="442">
        <f t="shared" si="19"/>
        <v>0</v>
      </c>
      <c r="I48" s="22">
        <f t="shared" si="20"/>
        <v>0</v>
      </c>
      <c r="J48" s="442">
        <f t="shared" si="21"/>
        <v>0</v>
      </c>
      <c r="K48" s="22">
        <f t="shared" si="22"/>
        <v>0</v>
      </c>
      <c r="L48" s="442">
        <f t="shared" si="23"/>
        <v>7558.8030980000003</v>
      </c>
      <c r="M48" s="22">
        <f t="shared" si="24"/>
        <v>41536</v>
      </c>
      <c r="N48" s="442">
        <f t="shared" si="25"/>
        <v>53750</v>
      </c>
      <c r="O48" s="22">
        <f t="shared" si="26"/>
        <v>48083</v>
      </c>
      <c r="P48" s="442">
        <f t="shared" si="27"/>
        <v>60040</v>
      </c>
      <c r="Q48" s="22">
        <f t="shared" si="28"/>
        <v>42049</v>
      </c>
      <c r="R48" s="442">
        <f t="shared" si="29"/>
        <v>53736</v>
      </c>
      <c r="S48" s="22">
        <f t="shared" si="30"/>
        <v>50313</v>
      </c>
      <c r="T48" s="442">
        <f t="shared" si="31"/>
        <v>49387</v>
      </c>
      <c r="U48" s="22">
        <f t="shared" si="32"/>
        <v>50858</v>
      </c>
      <c r="V48" s="442">
        <f t="shared" si="33"/>
        <v>0</v>
      </c>
      <c r="W48" s="22">
        <f t="shared" si="34"/>
        <v>0</v>
      </c>
      <c r="X48" s="442">
        <f t="shared" si="35"/>
        <v>0</v>
      </c>
      <c r="Y48" s="22">
        <f t="shared" si="36"/>
        <v>0</v>
      </c>
      <c r="Z48" s="442">
        <f t="shared" si="37"/>
        <v>0</v>
      </c>
      <c r="AA48" s="22">
        <f t="shared" si="38"/>
        <v>0</v>
      </c>
      <c r="AB48" s="442">
        <f t="shared" si="39"/>
        <v>0</v>
      </c>
      <c r="AC48" s="22">
        <f t="shared" si="40"/>
        <v>0</v>
      </c>
      <c r="AD48" s="442">
        <f t="shared" si="41"/>
        <v>0</v>
      </c>
      <c r="AE48" s="22">
        <f t="shared" si="42"/>
        <v>0</v>
      </c>
      <c r="AF48" s="442">
        <f t="shared" si="43"/>
        <v>0</v>
      </c>
      <c r="AG48" s="22">
        <f t="shared" si="44"/>
        <v>0</v>
      </c>
    </row>
    <row r="49" spans="1:33" x14ac:dyDescent="0.15">
      <c r="A49" s="15"/>
      <c r="B49" s="10" t="s">
        <v>29</v>
      </c>
      <c r="C49" s="1" t="s">
        <v>271</v>
      </c>
      <c r="D49" s="21">
        <f t="shared" si="15"/>
        <v>0</v>
      </c>
      <c r="E49" s="22">
        <f t="shared" si="16"/>
        <v>0</v>
      </c>
      <c r="F49" s="442">
        <f t="shared" si="17"/>
        <v>0</v>
      </c>
      <c r="G49" s="22">
        <f t="shared" si="18"/>
        <v>0</v>
      </c>
      <c r="H49" s="442">
        <f t="shared" si="19"/>
        <v>0</v>
      </c>
      <c r="I49" s="22">
        <f t="shared" si="20"/>
        <v>0</v>
      </c>
      <c r="J49" s="442">
        <f t="shared" si="21"/>
        <v>0</v>
      </c>
      <c r="K49" s="22">
        <f t="shared" si="22"/>
        <v>0</v>
      </c>
      <c r="L49" s="442">
        <f t="shared" si="23"/>
        <v>0</v>
      </c>
      <c r="M49" s="22">
        <f t="shared" si="24"/>
        <v>0</v>
      </c>
      <c r="N49" s="442">
        <f t="shared" si="25"/>
        <v>0</v>
      </c>
      <c r="O49" s="22">
        <f t="shared" si="26"/>
        <v>0</v>
      </c>
      <c r="P49" s="442">
        <f t="shared" si="27"/>
        <v>0</v>
      </c>
      <c r="Q49" s="22">
        <f t="shared" si="28"/>
        <v>0</v>
      </c>
      <c r="R49" s="442">
        <f t="shared" si="29"/>
        <v>0</v>
      </c>
      <c r="S49" s="22">
        <f t="shared" si="30"/>
        <v>0</v>
      </c>
      <c r="T49" s="442">
        <f t="shared" si="31"/>
        <v>0</v>
      </c>
      <c r="U49" s="22">
        <f t="shared" si="32"/>
        <v>0</v>
      </c>
      <c r="V49" s="442">
        <f t="shared" si="33"/>
        <v>0</v>
      </c>
      <c r="W49" s="22">
        <f t="shared" si="34"/>
        <v>0</v>
      </c>
      <c r="X49" s="442">
        <f t="shared" si="35"/>
        <v>0</v>
      </c>
      <c r="Y49" s="22">
        <f t="shared" si="36"/>
        <v>0</v>
      </c>
      <c r="Z49" s="442">
        <f t="shared" si="37"/>
        <v>0</v>
      </c>
      <c r="AA49" s="22">
        <f t="shared" si="38"/>
        <v>0</v>
      </c>
      <c r="AB49" s="442">
        <f t="shared" si="39"/>
        <v>0</v>
      </c>
      <c r="AC49" s="22">
        <f t="shared" si="40"/>
        <v>0</v>
      </c>
      <c r="AD49" s="442">
        <f t="shared" si="41"/>
        <v>0</v>
      </c>
      <c r="AE49" s="22">
        <f t="shared" si="42"/>
        <v>0</v>
      </c>
      <c r="AF49" s="442">
        <f t="shared" si="43"/>
        <v>0</v>
      </c>
      <c r="AG49" s="22">
        <f t="shared" si="44"/>
        <v>0</v>
      </c>
    </row>
    <row r="50" spans="1:33" x14ac:dyDescent="0.15">
      <c r="A50" s="14"/>
      <c r="B50" s="9" t="s">
        <v>12</v>
      </c>
      <c r="C50" s="443" t="s">
        <v>325</v>
      </c>
      <c r="D50" s="445">
        <f t="shared" si="15"/>
        <v>0</v>
      </c>
      <c r="E50" s="233">
        <f t="shared" si="16"/>
        <v>0</v>
      </c>
      <c r="F50" s="232">
        <f t="shared" si="17"/>
        <v>0</v>
      </c>
      <c r="G50" s="233">
        <f t="shared" si="18"/>
        <v>0</v>
      </c>
      <c r="H50" s="232">
        <f t="shared" si="19"/>
        <v>0</v>
      </c>
      <c r="I50" s="233">
        <f t="shared" si="20"/>
        <v>0</v>
      </c>
      <c r="J50" s="232">
        <f t="shared" si="21"/>
        <v>0</v>
      </c>
      <c r="K50" s="233">
        <f t="shared" si="22"/>
        <v>0</v>
      </c>
      <c r="L50" s="232">
        <f t="shared" si="23"/>
        <v>0</v>
      </c>
      <c r="M50" s="233">
        <f t="shared" si="24"/>
        <v>0</v>
      </c>
      <c r="N50" s="232">
        <f t="shared" si="25"/>
        <v>0</v>
      </c>
      <c r="O50" s="233">
        <f t="shared" si="26"/>
        <v>0</v>
      </c>
      <c r="P50" s="232">
        <f t="shared" si="27"/>
        <v>0</v>
      </c>
      <c r="Q50" s="233">
        <f t="shared" si="28"/>
        <v>0</v>
      </c>
      <c r="R50" s="232">
        <f t="shared" si="29"/>
        <v>0</v>
      </c>
      <c r="S50" s="233">
        <f t="shared" si="30"/>
        <v>0</v>
      </c>
      <c r="T50" s="232">
        <f t="shared" si="31"/>
        <v>0</v>
      </c>
      <c r="U50" s="233">
        <f t="shared" si="32"/>
        <v>0</v>
      </c>
      <c r="V50" s="232">
        <f t="shared" si="33"/>
        <v>0</v>
      </c>
      <c r="W50" s="233">
        <f t="shared" si="34"/>
        <v>0</v>
      </c>
      <c r="X50" s="232">
        <f t="shared" si="35"/>
        <v>0</v>
      </c>
      <c r="Y50" s="233">
        <f t="shared" si="36"/>
        <v>0</v>
      </c>
      <c r="Z50" s="232">
        <f t="shared" si="37"/>
        <v>0</v>
      </c>
      <c r="AA50" s="233">
        <f t="shared" si="38"/>
        <v>0</v>
      </c>
      <c r="AB50" s="232">
        <f t="shared" si="39"/>
        <v>0</v>
      </c>
      <c r="AC50" s="233">
        <f t="shared" si="40"/>
        <v>0</v>
      </c>
      <c r="AD50" s="232">
        <f t="shared" si="41"/>
        <v>0</v>
      </c>
      <c r="AE50" s="233">
        <f t="shared" si="42"/>
        <v>0</v>
      </c>
      <c r="AF50" s="232">
        <f t="shared" si="43"/>
        <v>0</v>
      </c>
      <c r="AG50" s="233">
        <f t="shared" si="44"/>
        <v>0</v>
      </c>
    </row>
    <row r="51" spans="1:33" x14ac:dyDescent="0.15">
      <c r="A51" s="15" t="s">
        <v>41</v>
      </c>
      <c r="B51" s="10" t="s">
        <v>26</v>
      </c>
      <c r="C51" s="1" t="s">
        <v>326</v>
      </c>
      <c r="D51" s="21">
        <f t="shared" si="15"/>
        <v>0</v>
      </c>
      <c r="E51" s="22">
        <f t="shared" si="16"/>
        <v>0</v>
      </c>
      <c r="F51" s="442">
        <f t="shared" si="17"/>
        <v>0</v>
      </c>
      <c r="G51" s="22">
        <f t="shared" si="18"/>
        <v>0</v>
      </c>
      <c r="H51" s="442">
        <f t="shared" si="19"/>
        <v>0</v>
      </c>
      <c r="I51" s="22">
        <f t="shared" si="20"/>
        <v>0</v>
      </c>
      <c r="J51" s="442">
        <f t="shared" si="21"/>
        <v>0</v>
      </c>
      <c r="K51" s="22">
        <f t="shared" si="22"/>
        <v>0</v>
      </c>
      <c r="L51" s="442">
        <f t="shared" si="23"/>
        <v>0</v>
      </c>
      <c r="M51" s="22">
        <f t="shared" si="24"/>
        <v>0</v>
      </c>
      <c r="N51" s="442">
        <f t="shared" si="25"/>
        <v>0</v>
      </c>
      <c r="O51" s="22">
        <f t="shared" si="26"/>
        <v>0</v>
      </c>
      <c r="P51" s="442">
        <f t="shared" si="27"/>
        <v>0</v>
      </c>
      <c r="Q51" s="22">
        <f t="shared" si="28"/>
        <v>0</v>
      </c>
      <c r="R51" s="442">
        <f t="shared" si="29"/>
        <v>0</v>
      </c>
      <c r="S51" s="22">
        <f t="shared" si="30"/>
        <v>0</v>
      </c>
      <c r="T51" s="442">
        <f t="shared" si="31"/>
        <v>0</v>
      </c>
      <c r="U51" s="22">
        <f t="shared" si="32"/>
        <v>0</v>
      </c>
      <c r="V51" s="442">
        <f t="shared" si="33"/>
        <v>0</v>
      </c>
      <c r="W51" s="22">
        <f t="shared" si="34"/>
        <v>0</v>
      </c>
      <c r="X51" s="442">
        <f t="shared" si="35"/>
        <v>0</v>
      </c>
      <c r="Y51" s="22">
        <f t="shared" si="36"/>
        <v>0</v>
      </c>
      <c r="Z51" s="442">
        <f t="shared" si="37"/>
        <v>0</v>
      </c>
      <c r="AA51" s="22">
        <f t="shared" si="38"/>
        <v>0</v>
      </c>
      <c r="AB51" s="442">
        <f t="shared" si="39"/>
        <v>0</v>
      </c>
      <c r="AC51" s="22">
        <f t="shared" si="40"/>
        <v>0</v>
      </c>
      <c r="AD51" s="442">
        <f t="shared" si="41"/>
        <v>0</v>
      </c>
      <c r="AE51" s="22">
        <f t="shared" si="42"/>
        <v>0</v>
      </c>
      <c r="AF51" s="442">
        <f t="shared" si="43"/>
        <v>0</v>
      </c>
      <c r="AG51" s="22">
        <f t="shared" si="44"/>
        <v>0</v>
      </c>
    </row>
    <row r="52" spans="1:33" x14ac:dyDescent="0.15">
      <c r="A52" s="15"/>
      <c r="B52" s="10" t="s">
        <v>30</v>
      </c>
      <c r="C52" s="1" t="s">
        <v>327</v>
      </c>
      <c r="D52" s="21">
        <f t="shared" si="15"/>
        <v>0</v>
      </c>
      <c r="E52" s="22">
        <f t="shared" si="16"/>
        <v>0</v>
      </c>
      <c r="F52" s="442">
        <f t="shared" si="17"/>
        <v>0</v>
      </c>
      <c r="G52" s="22">
        <f t="shared" si="18"/>
        <v>0</v>
      </c>
      <c r="H52" s="442">
        <f t="shared" si="19"/>
        <v>0</v>
      </c>
      <c r="I52" s="22">
        <f t="shared" si="20"/>
        <v>0</v>
      </c>
      <c r="J52" s="442">
        <f t="shared" si="21"/>
        <v>0</v>
      </c>
      <c r="K52" s="22">
        <f t="shared" si="22"/>
        <v>0</v>
      </c>
      <c r="L52" s="442">
        <f t="shared" si="23"/>
        <v>0</v>
      </c>
      <c r="M52" s="22">
        <f t="shared" si="24"/>
        <v>0</v>
      </c>
      <c r="N52" s="442">
        <f t="shared" si="25"/>
        <v>0</v>
      </c>
      <c r="O52" s="22">
        <f t="shared" si="26"/>
        <v>0</v>
      </c>
      <c r="P52" s="442">
        <f t="shared" si="27"/>
        <v>0</v>
      </c>
      <c r="Q52" s="22">
        <f t="shared" si="28"/>
        <v>0</v>
      </c>
      <c r="R52" s="442">
        <f t="shared" si="29"/>
        <v>0</v>
      </c>
      <c r="S52" s="22">
        <f t="shared" si="30"/>
        <v>0</v>
      </c>
      <c r="T52" s="442">
        <f t="shared" si="31"/>
        <v>0</v>
      </c>
      <c r="U52" s="22">
        <f t="shared" si="32"/>
        <v>0</v>
      </c>
      <c r="V52" s="442">
        <f t="shared" si="33"/>
        <v>0</v>
      </c>
      <c r="W52" s="22">
        <f t="shared" si="34"/>
        <v>0</v>
      </c>
      <c r="X52" s="442">
        <f t="shared" si="35"/>
        <v>0</v>
      </c>
      <c r="Y52" s="22">
        <f t="shared" si="36"/>
        <v>0</v>
      </c>
      <c r="Z52" s="442">
        <f t="shared" si="37"/>
        <v>0</v>
      </c>
      <c r="AA52" s="22">
        <f t="shared" si="38"/>
        <v>0</v>
      </c>
      <c r="AB52" s="442">
        <f t="shared" si="39"/>
        <v>0</v>
      </c>
      <c r="AC52" s="22">
        <f t="shared" si="40"/>
        <v>0</v>
      </c>
      <c r="AD52" s="442">
        <f t="shared" si="41"/>
        <v>0</v>
      </c>
      <c r="AE52" s="22">
        <f t="shared" si="42"/>
        <v>0</v>
      </c>
      <c r="AF52" s="442">
        <f t="shared" si="43"/>
        <v>0</v>
      </c>
      <c r="AG52" s="22">
        <f t="shared" si="44"/>
        <v>0</v>
      </c>
    </row>
    <row r="53" spans="1:33" x14ac:dyDescent="0.15">
      <c r="A53" s="15"/>
      <c r="B53" s="10" t="s">
        <v>28</v>
      </c>
      <c r="C53" s="1" t="s">
        <v>328</v>
      </c>
      <c r="D53" s="21">
        <f t="shared" si="15"/>
        <v>0</v>
      </c>
      <c r="E53" s="22">
        <f t="shared" si="16"/>
        <v>0</v>
      </c>
      <c r="F53" s="442">
        <f t="shared" si="17"/>
        <v>0</v>
      </c>
      <c r="G53" s="22">
        <f t="shared" si="18"/>
        <v>0</v>
      </c>
      <c r="H53" s="442">
        <f t="shared" si="19"/>
        <v>0</v>
      </c>
      <c r="I53" s="22">
        <f t="shared" si="20"/>
        <v>0</v>
      </c>
      <c r="J53" s="442">
        <f t="shared" si="21"/>
        <v>0</v>
      </c>
      <c r="K53" s="22">
        <f t="shared" si="22"/>
        <v>0</v>
      </c>
      <c r="L53" s="442">
        <f t="shared" si="23"/>
        <v>0</v>
      </c>
      <c r="M53" s="22">
        <f t="shared" si="24"/>
        <v>0</v>
      </c>
      <c r="N53" s="442">
        <f t="shared" si="25"/>
        <v>0</v>
      </c>
      <c r="O53" s="22">
        <f t="shared" si="26"/>
        <v>0</v>
      </c>
      <c r="P53" s="442">
        <f t="shared" si="27"/>
        <v>0</v>
      </c>
      <c r="Q53" s="22">
        <f t="shared" si="28"/>
        <v>0</v>
      </c>
      <c r="R53" s="442">
        <f t="shared" si="29"/>
        <v>0</v>
      </c>
      <c r="S53" s="22">
        <f t="shared" si="30"/>
        <v>0</v>
      </c>
      <c r="T53" s="442">
        <f t="shared" si="31"/>
        <v>0</v>
      </c>
      <c r="U53" s="22">
        <f t="shared" si="32"/>
        <v>0</v>
      </c>
      <c r="V53" s="442">
        <f t="shared" si="33"/>
        <v>0</v>
      </c>
      <c r="W53" s="22">
        <f t="shared" si="34"/>
        <v>0</v>
      </c>
      <c r="X53" s="442">
        <f t="shared" si="35"/>
        <v>0</v>
      </c>
      <c r="Y53" s="22">
        <f t="shared" si="36"/>
        <v>0</v>
      </c>
      <c r="Z53" s="442">
        <f t="shared" si="37"/>
        <v>0</v>
      </c>
      <c r="AA53" s="22">
        <f t="shared" si="38"/>
        <v>0</v>
      </c>
      <c r="AB53" s="442">
        <f t="shared" si="39"/>
        <v>0</v>
      </c>
      <c r="AC53" s="22">
        <f t="shared" si="40"/>
        <v>0</v>
      </c>
      <c r="AD53" s="442">
        <f t="shared" si="41"/>
        <v>0</v>
      </c>
      <c r="AE53" s="22">
        <f t="shared" si="42"/>
        <v>0</v>
      </c>
      <c r="AF53" s="442">
        <f t="shared" si="43"/>
        <v>0</v>
      </c>
      <c r="AG53" s="22">
        <f t="shared" si="44"/>
        <v>0</v>
      </c>
    </row>
    <row r="54" spans="1:33" x14ac:dyDescent="0.15">
      <c r="A54" s="15"/>
      <c r="B54" s="10" t="s">
        <v>29</v>
      </c>
      <c r="C54" s="1" t="s">
        <v>329</v>
      </c>
      <c r="D54" s="21">
        <f t="shared" si="15"/>
        <v>0</v>
      </c>
      <c r="E54" s="22">
        <f t="shared" si="16"/>
        <v>0</v>
      </c>
      <c r="F54" s="442">
        <f t="shared" si="17"/>
        <v>0</v>
      </c>
      <c r="G54" s="22">
        <f t="shared" si="18"/>
        <v>0</v>
      </c>
      <c r="H54" s="442">
        <f t="shared" si="19"/>
        <v>0</v>
      </c>
      <c r="I54" s="22">
        <f t="shared" si="20"/>
        <v>0</v>
      </c>
      <c r="J54" s="442">
        <f t="shared" si="21"/>
        <v>0</v>
      </c>
      <c r="K54" s="22">
        <f t="shared" si="22"/>
        <v>0</v>
      </c>
      <c r="L54" s="442">
        <f t="shared" si="23"/>
        <v>0</v>
      </c>
      <c r="M54" s="22">
        <f t="shared" si="24"/>
        <v>0</v>
      </c>
      <c r="N54" s="442">
        <f t="shared" si="25"/>
        <v>0</v>
      </c>
      <c r="O54" s="22">
        <f t="shared" si="26"/>
        <v>0</v>
      </c>
      <c r="P54" s="442">
        <f t="shared" si="27"/>
        <v>0</v>
      </c>
      <c r="Q54" s="22">
        <f t="shared" si="28"/>
        <v>0</v>
      </c>
      <c r="R54" s="442">
        <f t="shared" si="29"/>
        <v>0</v>
      </c>
      <c r="S54" s="22">
        <f t="shared" si="30"/>
        <v>0</v>
      </c>
      <c r="T54" s="442">
        <f t="shared" si="31"/>
        <v>0</v>
      </c>
      <c r="U54" s="22">
        <f t="shared" si="32"/>
        <v>0</v>
      </c>
      <c r="V54" s="442">
        <f t="shared" si="33"/>
        <v>0</v>
      </c>
      <c r="W54" s="22">
        <f t="shared" si="34"/>
        <v>0</v>
      </c>
      <c r="X54" s="442">
        <f t="shared" si="35"/>
        <v>0</v>
      </c>
      <c r="Y54" s="22">
        <f t="shared" si="36"/>
        <v>0</v>
      </c>
      <c r="Z54" s="442">
        <f t="shared" si="37"/>
        <v>0</v>
      </c>
      <c r="AA54" s="22">
        <f t="shared" si="38"/>
        <v>0</v>
      </c>
      <c r="AB54" s="442">
        <f t="shared" si="39"/>
        <v>0</v>
      </c>
      <c r="AC54" s="22">
        <f t="shared" si="40"/>
        <v>0</v>
      </c>
      <c r="AD54" s="442">
        <f t="shared" si="41"/>
        <v>0</v>
      </c>
      <c r="AE54" s="22">
        <f t="shared" si="42"/>
        <v>0</v>
      </c>
      <c r="AF54" s="442">
        <f t="shared" si="43"/>
        <v>0</v>
      </c>
      <c r="AG54" s="22">
        <f t="shared" si="44"/>
        <v>0</v>
      </c>
    </row>
    <row r="55" spans="1:33" ht="15" thickBot="1" x14ac:dyDescent="0.2">
      <c r="A55" s="15"/>
      <c r="B55" s="10" t="s">
        <v>12</v>
      </c>
      <c r="C55" s="1" t="s">
        <v>330</v>
      </c>
      <c r="D55" s="21">
        <f t="shared" si="15"/>
        <v>0</v>
      </c>
      <c r="E55" s="22">
        <f t="shared" si="16"/>
        <v>0</v>
      </c>
      <c r="F55" s="442">
        <f t="shared" si="17"/>
        <v>0</v>
      </c>
      <c r="G55" s="22">
        <f t="shared" si="18"/>
        <v>0</v>
      </c>
      <c r="H55" s="442">
        <f t="shared" si="19"/>
        <v>0</v>
      </c>
      <c r="I55" s="22">
        <f t="shared" si="20"/>
        <v>0</v>
      </c>
      <c r="J55" s="442">
        <f t="shared" si="21"/>
        <v>0</v>
      </c>
      <c r="K55" s="22">
        <f t="shared" si="22"/>
        <v>0</v>
      </c>
      <c r="L55" s="442">
        <f t="shared" si="23"/>
        <v>0</v>
      </c>
      <c r="M55" s="22">
        <f t="shared" si="24"/>
        <v>0</v>
      </c>
      <c r="N55" s="442">
        <f t="shared" si="25"/>
        <v>0</v>
      </c>
      <c r="O55" s="22">
        <f t="shared" si="26"/>
        <v>0</v>
      </c>
      <c r="P55" s="442">
        <f t="shared" si="27"/>
        <v>0</v>
      </c>
      <c r="Q55" s="22">
        <f t="shared" si="28"/>
        <v>0</v>
      </c>
      <c r="R55" s="442">
        <f t="shared" si="29"/>
        <v>0</v>
      </c>
      <c r="S55" s="22">
        <f t="shared" si="30"/>
        <v>0</v>
      </c>
      <c r="T55" s="442">
        <f t="shared" si="31"/>
        <v>0</v>
      </c>
      <c r="U55" s="22">
        <f t="shared" si="32"/>
        <v>0</v>
      </c>
      <c r="V55" s="442">
        <f t="shared" si="33"/>
        <v>0</v>
      </c>
      <c r="W55" s="22">
        <f t="shared" si="34"/>
        <v>0</v>
      </c>
      <c r="X55" s="442">
        <f t="shared" si="35"/>
        <v>0</v>
      </c>
      <c r="Y55" s="22">
        <f t="shared" si="36"/>
        <v>0</v>
      </c>
      <c r="Z55" s="442">
        <f t="shared" si="37"/>
        <v>0</v>
      </c>
      <c r="AA55" s="22">
        <f t="shared" si="38"/>
        <v>0</v>
      </c>
      <c r="AB55" s="442">
        <f t="shared" si="39"/>
        <v>0</v>
      </c>
      <c r="AC55" s="22">
        <f t="shared" si="40"/>
        <v>0</v>
      </c>
      <c r="AD55" s="442">
        <f t="shared" si="41"/>
        <v>0</v>
      </c>
      <c r="AE55" s="22">
        <f t="shared" si="42"/>
        <v>0</v>
      </c>
      <c r="AF55" s="442">
        <f t="shared" si="43"/>
        <v>0</v>
      </c>
      <c r="AG55" s="22">
        <f t="shared" si="44"/>
        <v>0</v>
      </c>
    </row>
    <row r="56" spans="1:33" s="1" customFormat="1" ht="15" thickBot="1" x14ac:dyDescent="0.2">
      <c r="A56" s="468" t="s">
        <v>251</v>
      </c>
      <c r="B56" s="469" t="s">
        <v>53</v>
      </c>
      <c r="C56" s="469" t="s">
        <v>418</v>
      </c>
      <c r="D56" s="471">
        <v>0</v>
      </c>
      <c r="E56" s="470">
        <v>0</v>
      </c>
      <c r="F56" s="471">
        <v>0</v>
      </c>
      <c r="G56" s="470">
        <v>0</v>
      </c>
      <c r="H56" s="471">
        <v>0</v>
      </c>
      <c r="I56" s="470">
        <v>0</v>
      </c>
      <c r="J56" s="471">
        <v>0</v>
      </c>
      <c r="K56" s="470">
        <v>0</v>
      </c>
      <c r="L56" s="471">
        <v>0</v>
      </c>
      <c r="M56" s="470">
        <v>0</v>
      </c>
      <c r="N56" s="471">
        <v>0</v>
      </c>
      <c r="O56" s="470">
        <v>0</v>
      </c>
      <c r="P56" s="471">
        <v>0</v>
      </c>
      <c r="Q56" s="470">
        <v>0</v>
      </c>
      <c r="R56" s="471">
        <v>596.07000000000005</v>
      </c>
      <c r="S56" s="470">
        <v>1567.83</v>
      </c>
      <c r="T56" s="471">
        <v>1664.37</v>
      </c>
      <c r="U56" s="470">
        <v>5889.67</v>
      </c>
      <c r="V56" s="471">
        <v>0</v>
      </c>
      <c r="W56" s="470">
        <v>0</v>
      </c>
      <c r="X56" s="471">
        <v>0</v>
      </c>
      <c r="Y56" s="470">
        <v>0</v>
      </c>
      <c r="Z56" s="471">
        <v>0</v>
      </c>
      <c r="AA56" s="470">
        <v>0</v>
      </c>
      <c r="AB56" s="471">
        <v>0</v>
      </c>
      <c r="AC56" s="470">
        <v>0</v>
      </c>
      <c r="AD56" s="471">
        <v>0</v>
      </c>
      <c r="AE56" s="470">
        <v>0</v>
      </c>
      <c r="AF56" s="471">
        <v>0</v>
      </c>
      <c r="AG56" s="470">
        <v>0</v>
      </c>
    </row>
    <row r="57" spans="1:33" x14ac:dyDescent="0.15">
      <c r="A57" s="7" t="s">
        <v>550</v>
      </c>
      <c r="B57" s="3" t="s">
        <v>31</v>
      </c>
      <c r="C57" s="444"/>
      <c r="D57" s="440">
        <f>D44</f>
        <v>28210</v>
      </c>
      <c r="E57" s="441">
        <f>E44</f>
        <v>28210</v>
      </c>
      <c r="F57" s="440">
        <f t="shared" ref="F57:AG57" si="45">F44</f>
        <v>30000</v>
      </c>
      <c r="G57" s="441">
        <f t="shared" si="45"/>
        <v>20209</v>
      </c>
      <c r="H57" s="440">
        <f t="shared" si="45"/>
        <v>41137</v>
      </c>
      <c r="I57" s="441">
        <f t="shared" si="45"/>
        <v>45226</v>
      </c>
      <c r="J57" s="440">
        <f t="shared" si="45"/>
        <v>46348</v>
      </c>
      <c r="K57" s="441">
        <f t="shared" si="45"/>
        <v>42165</v>
      </c>
      <c r="L57" s="440">
        <f t="shared" si="45"/>
        <v>45353</v>
      </c>
      <c r="M57" s="441">
        <f t="shared" si="45"/>
        <v>41536</v>
      </c>
      <c r="N57" s="440">
        <f t="shared" si="45"/>
        <v>53750</v>
      </c>
      <c r="O57" s="441">
        <f t="shared" si="45"/>
        <v>48083</v>
      </c>
      <c r="P57" s="440">
        <f t="shared" si="45"/>
        <v>60040</v>
      </c>
      <c r="Q57" s="441">
        <f t="shared" si="45"/>
        <v>42049</v>
      </c>
      <c r="R57" s="440">
        <f t="shared" si="45"/>
        <v>53736</v>
      </c>
      <c r="S57" s="441">
        <f t="shared" si="45"/>
        <v>50313</v>
      </c>
      <c r="T57" s="440">
        <f t="shared" si="45"/>
        <v>49387</v>
      </c>
      <c r="U57" s="441">
        <f t="shared" si="45"/>
        <v>50858</v>
      </c>
      <c r="V57" s="440">
        <f t="shared" si="45"/>
        <v>0</v>
      </c>
      <c r="W57" s="441">
        <f t="shared" si="45"/>
        <v>0</v>
      </c>
      <c r="X57" s="440">
        <f t="shared" si="45"/>
        <v>0</v>
      </c>
      <c r="Y57" s="441">
        <f t="shared" si="45"/>
        <v>0</v>
      </c>
      <c r="Z57" s="440">
        <f t="shared" si="45"/>
        <v>0</v>
      </c>
      <c r="AA57" s="441">
        <f t="shared" si="45"/>
        <v>0</v>
      </c>
      <c r="AB57" s="440">
        <f t="shared" si="45"/>
        <v>0</v>
      </c>
      <c r="AC57" s="441">
        <f t="shared" si="45"/>
        <v>0</v>
      </c>
      <c r="AD57" s="440">
        <f t="shared" si="45"/>
        <v>0</v>
      </c>
      <c r="AE57" s="441">
        <f t="shared" si="45"/>
        <v>0</v>
      </c>
      <c r="AF57" s="440">
        <f t="shared" si="45"/>
        <v>0</v>
      </c>
      <c r="AG57" s="441">
        <f t="shared" si="45"/>
        <v>0</v>
      </c>
    </row>
    <row r="58" spans="1:33" x14ac:dyDescent="0.15">
      <c r="A58" s="18" t="s">
        <v>42</v>
      </c>
      <c r="B58" s="19" t="s">
        <v>26</v>
      </c>
      <c r="C58" s="8"/>
      <c r="D58" s="187">
        <v>1</v>
      </c>
      <c r="E58" s="188">
        <v>1</v>
      </c>
      <c r="F58" s="187">
        <v>1</v>
      </c>
      <c r="G58" s="646">
        <v>1</v>
      </c>
      <c r="H58" s="187">
        <v>1</v>
      </c>
      <c r="I58" s="646">
        <v>1</v>
      </c>
      <c r="J58" s="187">
        <v>1</v>
      </c>
      <c r="K58" s="646">
        <v>1</v>
      </c>
      <c r="L58" s="187">
        <v>0.83333332999999998</v>
      </c>
      <c r="M58" s="188">
        <v>0</v>
      </c>
      <c r="N58" s="646">
        <v>0</v>
      </c>
      <c r="O58" s="646">
        <v>0</v>
      </c>
      <c r="P58" s="187">
        <v>0</v>
      </c>
      <c r="Q58" s="188">
        <v>0</v>
      </c>
      <c r="R58" s="646">
        <v>0</v>
      </c>
      <c r="S58" s="188">
        <v>0</v>
      </c>
      <c r="T58" s="646">
        <v>0</v>
      </c>
      <c r="U58" s="646">
        <v>0</v>
      </c>
      <c r="V58" s="187">
        <v>1</v>
      </c>
      <c r="W58" s="188">
        <v>1</v>
      </c>
      <c r="X58" s="187">
        <v>1</v>
      </c>
      <c r="Y58" s="188">
        <v>1</v>
      </c>
      <c r="Z58" s="187">
        <v>1</v>
      </c>
      <c r="AA58" s="188">
        <v>1</v>
      </c>
      <c r="AB58" s="187">
        <v>1</v>
      </c>
      <c r="AC58" s="188">
        <v>1</v>
      </c>
      <c r="AD58" s="187">
        <v>1</v>
      </c>
      <c r="AE58" s="188">
        <v>1</v>
      </c>
      <c r="AF58" s="187">
        <v>1</v>
      </c>
      <c r="AG58" s="188">
        <v>1</v>
      </c>
    </row>
    <row r="59" spans="1:33" x14ac:dyDescent="0.15">
      <c r="A59" s="15"/>
      <c r="B59" s="10" t="s">
        <v>30</v>
      </c>
      <c r="C59" s="8"/>
      <c r="D59" s="189">
        <v>0</v>
      </c>
      <c r="E59" s="190">
        <v>0</v>
      </c>
      <c r="F59" s="189">
        <v>0</v>
      </c>
      <c r="G59" s="647">
        <v>0</v>
      </c>
      <c r="H59" s="189">
        <v>0</v>
      </c>
      <c r="I59" s="647">
        <v>0</v>
      </c>
      <c r="J59" s="189">
        <v>0</v>
      </c>
      <c r="K59" s="647">
        <v>0</v>
      </c>
      <c r="L59" s="189">
        <v>0</v>
      </c>
      <c r="M59" s="190">
        <v>0</v>
      </c>
      <c r="N59" s="647">
        <v>0</v>
      </c>
      <c r="O59" s="647">
        <v>0</v>
      </c>
      <c r="P59" s="189">
        <v>0</v>
      </c>
      <c r="Q59" s="190">
        <v>0</v>
      </c>
      <c r="R59" s="647">
        <v>0</v>
      </c>
      <c r="S59" s="190">
        <v>0</v>
      </c>
      <c r="T59" s="647">
        <v>0</v>
      </c>
      <c r="U59" s="647">
        <v>0</v>
      </c>
      <c r="V59" s="189">
        <v>0</v>
      </c>
      <c r="W59" s="190">
        <v>0</v>
      </c>
      <c r="X59" s="189">
        <v>0</v>
      </c>
      <c r="Y59" s="190">
        <v>0</v>
      </c>
      <c r="Z59" s="189">
        <v>0</v>
      </c>
      <c r="AA59" s="190">
        <v>0</v>
      </c>
      <c r="AB59" s="189">
        <v>0</v>
      </c>
      <c r="AC59" s="190">
        <v>0</v>
      </c>
      <c r="AD59" s="189">
        <v>0</v>
      </c>
      <c r="AE59" s="190">
        <v>0</v>
      </c>
      <c r="AF59" s="189">
        <v>0</v>
      </c>
      <c r="AG59" s="190">
        <v>0</v>
      </c>
    </row>
    <row r="60" spans="1:33" x14ac:dyDescent="0.15">
      <c r="A60" s="15"/>
      <c r="B60" s="10" t="s">
        <v>28</v>
      </c>
      <c r="C60" s="8"/>
      <c r="D60" s="189">
        <v>0</v>
      </c>
      <c r="E60" s="190">
        <v>0</v>
      </c>
      <c r="F60" s="189">
        <v>0</v>
      </c>
      <c r="G60" s="647">
        <v>0</v>
      </c>
      <c r="H60" s="189">
        <v>0</v>
      </c>
      <c r="I60" s="647">
        <v>0</v>
      </c>
      <c r="J60" s="189">
        <v>0</v>
      </c>
      <c r="K60" s="647">
        <v>0</v>
      </c>
      <c r="L60" s="189">
        <v>0.16666600000000001</v>
      </c>
      <c r="M60" s="190">
        <v>1</v>
      </c>
      <c r="N60" s="647">
        <v>1</v>
      </c>
      <c r="O60" s="647">
        <v>1</v>
      </c>
      <c r="P60" s="189">
        <v>1</v>
      </c>
      <c r="Q60" s="190">
        <v>1</v>
      </c>
      <c r="R60" s="647">
        <v>1</v>
      </c>
      <c r="S60" s="190">
        <v>1</v>
      </c>
      <c r="T60" s="647">
        <v>1</v>
      </c>
      <c r="U60" s="647">
        <v>1</v>
      </c>
      <c r="V60" s="189">
        <v>0</v>
      </c>
      <c r="W60" s="190">
        <v>0</v>
      </c>
      <c r="X60" s="189">
        <v>0</v>
      </c>
      <c r="Y60" s="190">
        <v>0</v>
      </c>
      <c r="Z60" s="189">
        <v>0</v>
      </c>
      <c r="AA60" s="190">
        <v>0</v>
      </c>
      <c r="AB60" s="189">
        <v>0</v>
      </c>
      <c r="AC60" s="190">
        <v>0</v>
      </c>
      <c r="AD60" s="189">
        <v>0</v>
      </c>
      <c r="AE60" s="190">
        <v>0</v>
      </c>
      <c r="AF60" s="189">
        <v>0</v>
      </c>
      <c r="AG60" s="190">
        <v>0</v>
      </c>
    </row>
    <row r="61" spans="1:33" x14ac:dyDescent="0.15">
      <c r="A61" s="15"/>
      <c r="B61" s="10" t="s">
        <v>29</v>
      </c>
      <c r="C61" s="8"/>
      <c r="D61" s="189">
        <v>0</v>
      </c>
      <c r="E61" s="190">
        <v>0</v>
      </c>
      <c r="F61" s="189">
        <v>0</v>
      </c>
      <c r="G61" s="647">
        <v>0</v>
      </c>
      <c r="H61" s="189">
        <v>0</v>
      </c>
      <c r="I61" s="647">
        <v>0</v>
      </c>
      <c r="J61" s="189">
        <v>0</v>
      </c>
      <c r="K61" s="647">
        <v>0</v>
      </c>
      <c r="L61" s="189">
        <v>0</v>
      </c>
      <c r="M61" s="190">
        <v>0</v>
      </c>
      <c r="N61" s="647">
        <v>0</v>
      </c>
      <c r="O61" s="647">
        <v>0</v>
      </c>
      <c r="P61" s="189">
        <v>0</v>
      </c>
      <c r="Q61" s="190">
        <v>0</v>
      </c>
      <c r="R61" s="647">
        <v>0</v>
      </c>
      <c r="S61" s="190">
        <v>0</v>
      </c>
      <c r="T61" s="647">
        <v>0</v>
      </c>
      <c r="U61" s="647">
        <v>0</v>
      </c>
      <c r="V61" s="189">
        <v>0</v>
      </c>
      <c r="W61" s="190">
        <v>0</v>
      </c>
      <c r="X61" s="189">
        <v>0</v>
      </c>
      <c r="Y61" s="190">
        <v>0</v>
      </c>
      <c r="Z61" s="189">
        <v>0</v>
      </c>
      <c r="AA61" s="190">
        <v>0</v>
      </c>
      <c r="AB61" s="189">
        <v>0</v>
      </c>
      <c r="AC61" s="190">
        <v>0</v>
      </c>
      <c r="AD61" s="189">
        <v>0</v>
      </c>
      <c r="AE61" s="190">
        <v>0</v>
      </c>
      <c r="AF61" s="189">
        <v>0</v>
      </c>
      <c r="AG61" s="190">
        <v>0</v>
      </c>
    </row>
    <row r="62" spans="1:33" x14ac:dyDescent="0.15">
      <c r="A62" s="14"/>
      <c r="B62" s="9" t="s">
        <v>12</v>
      </c>
      <c r="C62" s="443"/>
      <c r="D62" s="191">
        <v>0</v>
      </c>
      <c r="E62" s="192">
        <v>0</v>
      </c>
      <c r="F62" s="191">
        <v>0</v>
      </c>
      <c r="G62" s="648">
        <v>0</v>
      </c>
      <c r="H62" s="191">
        <v>0</v>
      </c>
      <c r="I62" s="648">
        <v>0</v>
      </c>
      <c r="J62" s="191">
        <v>0</v>
      </c>
      <c r="K62" s="648">
        <v>0</v>
      </c>
      <c r="L62" s="191">
        <v>0</v>
      </c>
      <c r="M62" s="192">
        <v>0</v>
      </c>
      <c r="N62" s="648">
        <v>0</v>
      </c>
      <c r="O62" s="648">
        <v>0</v>
      </c>
      <c r="P62" s="191">
        <v>0</v>
      </c>
      <c r="Q62" s="192">
        <v>0</v>
      </c>
      <c r="R62" s="648">
        <v>0</v>
      </c>
      <c r="S62" s="192">
        <v>0</v>
      </c>
      <c r="T62" s="648">
        <v>0</v>
      </c>
      <c r="U62" s="648">
        <v>0</v>
      </c>
      <c r="V62" s="191">
        <v>0</v>
      </c>
      <c r="W62" s="192">
        <v>0</v>
      </c>
      <c r="X62" s="191">
        <v>0</v>
      </c>
      <c r="Y62" s="192">
        <v>0</v>
      </c>
      <c r="Z62" s="191">
        <v>0</v>
      </c>
      <c r="AA62" s="192">
        <v>0</v>
      </c>
      <c r="AB62" s="191">
        <v>0</v>
      </c>
      <c r="AC62" s="192">
        <v>0</v>
      </c>
      <c r="AD62" s="191">
        <v>0</v>
      </c>
      <c r="AE62" s="192">
        <v>0</v>
      </c>
      <c r="AF62" s="191">
        <v>0</v>
      </c>
      <c r="AG62" s="192">
        <v>0</v>
      </c>
    </row>
    <row r="63" spans="1:33" x14ac:dyDescent="0.15">
      <c r="A63" s="15" t="s">
        <v>41</v>
      </c>
      <c r="B63" s="10" t="s">
        <v>26</v>
      </c>
      <c r="C63" s="8"/>
      <c r="D63" s="189">
        <v>0</v>
      </c>
      <c r="E63" s="190">
        <v>0</v>
      </c>
      <c r="F63" s="189">
        <v>0</v>
      </c>
      <c r="G63" s="647">
        <v>0</v>
      </c>
      <c r="H63" s="189">
        <v>0</v>
      </c>
      <c r="I63" s="647">
        <v>0</v>
      </c>
      <c r="J63" s="189">
        <v>0</v>
      </c>
      <c r="K63" s="647">
        <v>0</v>
      </c>
      <c r="L63" s="189">
        <v>0</v>
      </c>
      <c r="M63" s="190">
        <v>0</v>
      </c>
      <c r="N63" s="647">
        <v>0</v>
      </c>
      <c r="O63" s="647">
        <v>0</v>
      </c>
      <c r="P63" s="189">
        <v>0</v>
      </c>
      <c r="Q63" s="190">
        <v>0</v>
      </c>
      <c r="R63" s="647">
        <v>0</v>
      </c>
      <c r="S63" s="190">
        <v>0</v>
      </c>
      <c r="T63" s="647">
        <v>0</v>
      </c>
      <c r="U63" s="647">
        <v>0</v>
      </c>
      <c r="V63" s="189">
        <v>0</v>
      </c>
      <c r="W63" s="190">
        <v>0</v>
      </c>
      <c r="X63" s="189">
        <v>0</v>
      </c>
      <c r="Y63" s="190">
        <v>0</v>
      </c>
      <c r="Z63" s="189">
        <v>0</v>
      </c>
      <c r="AA63" s="190">
        <v>0</v>
      </c>
      <c r="AB63" s="189">
        <v>0</v>
      </c>
      <c r="AC63" s="190">
        <v>0</v>
      </c>
      <c r="AD63" s="189">
        <v>0</v>
      </c>
      <c r="AE63" s="190">
        <v>0</v>
      </c>
      <c r="AF63" s="189">
        <v>0</v>
      </c>
      <c r="AG63" s="190">
        <v>0</v>
      </c>
    </row>
    <row r="64" spans="1:33" x14ac:dyDescent="0.15">
      <c r="A64" s="15"/>
      <c r="B64" s="10" t="s">
        <v>30</v>
      </c>
      <c r="C64" s="8"/>
      <c r="D64" s="189">
        <v>0</v>
      </c>
      <c r="E64" s="190">
        <v>0</v>
      </c>
      <c r="F64" s="189">
        <v>0</v>
      </c>
      <c r="G64" s="647">
        <v>0</v>
      </c>
      <c r="H64" s="189">
        <v>0</v>
      </c>
      <c r="I64" s="647">
        <v>0</v>
      </c>
      <c r="J64" s="189">
        <v>0</v>
      </c>
      <c r="K64" s="647">
        <v>0</v>
      </c>
      <c r="L64" s="189">
        <v>0</v>
      </c>
      <c r="M64" s="190">
        <v>0</v>
      </c>
      <c r="N64" s="647">
        <v>0</v>
      </c>
      <c r="O64" s="647">
        <v>0</v>
      </c>
      <c r="P64" s="189">
        <v>0</v>
      </c>
      <c r="Q64" s="190">
        <v>0</v>
      </c>
      <c r="R64" s="647">
        <v>0</v>
      </c>
      <c r="S64" s="190">
        <v>0</v>
      </c>
      <c r="T64" s="647">
        <v>0</v>
      </c>
      <c r="U64" s="647">
        <v>0</v>
      </c>
      <c r="V64" s="189">
        <v>0</v>
      </c>
      <c r="W64" s="190">
        <v>0</v>
      </c>
      <c r="X64" s="189">
        <v>0</v>
      </c>
      <c r="Y64" s="190">
        <v>0</v>
      </c>
      <c r="Z64" s="189">
        <v>0</v>
      </c>
      <c r="AA64" s="190">
        <v>0</v>
      </c>
      <c r="AB64" s="189">
        <v>0</v>
      </c>
      <c r="AC64" s="190">
        <v>0</v>
      </c>
      <c r="AD64" s="189">
        <v>0</v>
      </c>
      <c r="AE64" s="190">
        <v>0</v>
      </c>
      <c r="AF64" s="189">
        <v>0</v>
      </c>
      <c r="AG64" s="190">
        <v>0</v>
      </c>
    </row>
    <row r="65" spans="1:33" x14ac:dyDescent="0.15">
      <c r="A65" s="15"/>
      <c r="B65" s="10" t="s">
        <v>28</v>
      </c>
      <c r="C65" s="8"/>
      <c r="D65" s="189">
        <v>0</v>
      </c>
      <c r="E65" s="190">
        <v>0</v>
      </c>
      <c r="F65" s="189">
        <v>0</v>
      </c>
      <c r="G65" s="647">
        <v>0</v>
      </c>
      <c r="H65" s="189">
        <v>0</v>
      </c>
      <c r="I65" s="647">
        <v>0</v>
      </c>
      <c r="J65" s="189">
        <v>0</v>
      </c>
      <c r="K65" s="647">
        <v>0</v>
      </c>
      <c r="L65" s="189">
        <v>0</v>
      </c>
      <c r="M65" s="190">
        <v>0</v>
      </c>
      <c r="N65" s="647">
        <v>0</v>
      </c>
      <c r="O65" s="647">
        <v>0</v>
      </c>
      <c r="P65" s="189">
        <v>0</v>
      </c>
      <c r="Q65" s="190">
        <v>0</v>
      </c>
      <c r="R65" s="647">
        <v>0</v>
      </c>
      <c r="S65" s="190">
        <v>0</v>
      </c>
      <c r="T65" s="647">
        <v>0</v>
      </c>
      <c r="U65" s="647">
        <v>0</v>
      </c>
      <c r="V65" s="189">
        <v>0</v>
      </c>
      <c r="W65" s="190">
        <v>0</v>
      </c>
      <c r="X65" s="189">
        <v>0</v>
      </c>
      <c r="Y65" s="190">
        <v>0</v>
      </c>
      <c r="Z65" s="189">
        <v>0</v>
      </c>
      <c r="AA65" s="190">
        <v>0</v>
      </c>
      <c r="AB65" s="189">
        <v>0</v>
      </c>
      <c r="AC65" s="190">
        <v>0</v>
      </c>
      <c r="AD65" s="189">
        <v>0</v>
      </c>
      <c r="AE65" s="190">
        <v>0</v>
      </c>
      <c r="AF65" s="189">
        <v>0</v>
      </c>
      <c r="AG65" s="190">
        <v>0</v>
      </c>
    </row>
    <row r="66" spans="1:33" x14ac:dyDescent="0.15">
      <c r="A66" s="15"/>
      <c r="B66" s="10" t="s">
        <v>29</v>
      </c>
      <c r="C66" s="8"/>
      <c r="D66" s="189">
        <v>0</v>
      </c>
      <c r="E66" s="190">
        <v>0</v>
      </c>
      <c r="F66" s="189">
        <v>0</v>
      </c>
      <c r="G66" s="647">
        <v>0</v>
      </c>
      <c r="H66" s="189">
        <v>0</v>
      </c>
      <c r="I66" s="647">
        <v>0</v>
      </c>
      <c r="J66" s="189">
        <v>0</v>
      </c>
      <c r="K66" s="647">
        <v>0</v>
      </c>
      <c r="L66" s="189">
        <v>0</v>
      </c>
      <c r="M66" s="190">
        <v>0</v>
      </c>
      <c r="N66" s="647">
        <v>0</v>
      </c>
      <c r="O66" s="647">
        <v>0</v>
      </c>
      <c r="P66" s="189">
        <v>0</v>
      </c>
      <c r="Q66" s="190">
        <v>0</v>
      </c>
      <c r="R66" s="647">
        <v>0</v>
      </c>
      <c r="S66" s="190">
        <v>0</v>
      </c>
      <c r="T66" s="647">
        <v>0</v>
      </c>
      <c r="U66" s="647">
        <v>0</v>
      </c>
      <c r="V66" s="189">
        <v>0</v>
      </c>
      <c r="W66" s="190">
        <v>0</v>
      </c>
      <c r="X66" s="189">
        <v>0</v>
      </c>
      <c r="Y66" s="190">
        <v>0</v>
      </c>
      <c r="Z66" s="189">
        <v>0</v>
      </c>
      <c r="AA66" s="190">
        <v>0</v>
      </c>
      <c r="AB66" s="189">
        <v>0</v>
      </c>
      <c r="AC66" s="190">
        <v>0</v>
      </c>
      <c r="AD66" s="189">
        <v>0</v>
      </c>
      <c r="AE66" s="190">
        <v>0</v>
      </c>
      <c r="AF66" s="189">
        <v>0</v>
      </c>
      <c r="AG66" s="190">
        <v>0</v>
      </c>
    </row>
    <row r="67" spans="1:33" ht="15" thickBot="1" x14ac:dyDescent="0.2">
      <c r="A67" s="16"/>
      <c r="B67" s="4" t="s">
        <v>12</v>
      </c>
      <c r="C67" s="13"/>
      <c r="D67" s="193">
        <v>0</v>
      </c>
      <c r="E67" s="194">
        <v>0</v>
      </c>
      <c r="F67" s="193">
        <v>0</v>
      </c>
      <c r="G67" s="649">
        <v>0</v>
      </c>
      <c r="H67" s="193">
        <v>0</v>
      </c>
      <c r="I67" s="649">
        <v>0</v>
      </c>
      <c r="J67" s="193">
        <v>0</v>
      </c>
      <c r="K67" s="649">
        <v>0</v>
      </c>
      <c r="L67" s="193">
        <v>0</v>
      </c>
      <c r="M67" s="194">
        <v>0</v>
      </c>
      <c r="N67" s="649">
        <v>0</v>
      </c>
      <c r="O67" s="649">
        <v>0</v>
      </c>
      <c r="P67" s="193">
        <v>0</v>
      </c>
      <c r="Q67" s="194">
        <v>0</v>
      </c>
      <c r="R67" s="649">
        <v>0</v>
      </c>
      <c r="S67" s="194">
        <v>0</v>
      </c>
      <c r="T67" s="649">
        <v>0</v>
      </c>
      <c r="U67" s="649">
        <v>0</v>
      </c>
      <c r="V67" s="193">
        <v>0</v>
      </c>
      <c r="W67" s="194">
        <v>0</v>
      </c>
      <c r="X67" s="193">
        <v>0</v>
      </c>
      <c r="Y67" s="194">
        <v>0</v>
      </c>
      <c r="Z67" s="193">
        <v>0</v>
      </c>
      <c r="AA67" s="194">
        <v>0</v>
      </c>
      <c r="AB67" s="193">
        <v>0</v>
      </c>
      <c r="AC67" s="194">
        <v>0</v>
      </c>
      <c r="AD67" s="193">
        <v>0</v>
      </c>
      <c r="AE67" s="194">
        <v>0</v>
      </c>
      <c r="AF67" s="193">
        <v>0</v>
      </c>
      <c r="AG67" s="194">
        <v>0</v>
      </c>
    </row>
    <row r="68" spans="1:33" x14ac:dyDescent="0.15">
      <c r="A68" s="7" t="s">
        <v>22</v>
      </c>
      <c r="B68" s="3" t="s">
        <v>31</v>
      </c>
      <c r="C68" s="444"/>
      <c r="D68" s="440">
        <f>D45</f>
        <v>0</v>
      </c>
      <c r="E68" s="441">
        <f>E45</f>
        <v>0</v>
      </c>
      <c r="F68" s="440">
        <f t="shared" ref="F68:AG68" si="46">F45</f>
        <v>0</v>
      </c>
      <c r="G68" s="441">
        <f t="shared" si="46"/>
        <v>0</v>
      </c>
      <c r="H68" s="440">
        <f t="shared" si="46"/>
        <v>0</v>
      </c>
      <c r="I68" s="441">
        <f t="shared" si="46"/>
        <v>0</v>
      </c>
      <c r="J68" s="440">
        <f t="shared" si="46"/>
        <v>0</v>
      </c>
      <c r="K68" s="441">
        <f t="shared" si="46"/>
        <v>0</v>
      </c>
      <c r="L68" s="440">
        <f t="shared" si="46"/>
        <v>0</v>
      </c>
      <c r="M68" s="441">
        <f t="shared" si="46"/>
        <v>0</v>
      </c>
      <c r="N68" s="440">
        <f t="shared" si="46"/>
        <v>0</v>
      </c>
      <c r="O68" s="441">
        <f t="shared" si="46"/>
        <v>0</v>
      </c>
      <c r="P68" s="440">
        <f t="shared" si="46"/>
        <v>0</v>
      </c>
      <c r="Q68" s="441">
        <f t="shared" si="46"/>
        <v>0</v>
      </c>
      <c r="R68" s="440">
        <f t="shared" si="46"/>
        <v>0</v>
      </c>
      <c r="S68" s="441">
        <f t="shared" si="46"/>
        <v>0</v>
      </c>
      <c r="T68" s="440">
        <f t="shared" si="46"/>
        <v>0</v>
      </c>
      <c r="U68" s="441">
        <f t="shared" si="46"/>
        <v>0</v>
      </c>
      <c r="V68" s="440">
        <f t="shared" si="46"/>
        <v>0</v>
      </c>
      <c r="W68" s="441">
        <f t="shared" si="46"/>
        <v>0</v>
      </c>
      <c r="X68" s="440">
        <f t="shared" si="46"/>
        <v>0</v>
      </c>
      <c r="Y68" s="441">
        <f t="shared" si="46"/>
        <v>0</v>
      </c>
      <c r="Z68" s="440">
        <f t="shared" si="46"/>
        <v>0</v>
      </c>
      <c r="AA68" s="441">
        <f t="shared" si="46"/>
        <v>0</v>
      </c>
      <c r="AB68" s="440">
        <f t="shared" si="46"/>
        <v>0</v>
      </c>
      <c r="AC68" s="441">
        <f t="shared" si="46"/>
        <v>0</v>
      </c>
      <c r="AD68" s="440">
        <f t="shared" si="46"/>
        <v>0</v>
      </c>
      <c r="AE68" s="441">
        <f t="shared" si="46"/>
        <v>0</v>
      </c>
      <c r="AF68" s="440">
        <f t="shared" si="46"/>
        <v>0</v>
      </c>
      <c r="AG68" s="441">
        <f t="shared" si="46"/>
        <v>0</v>
      </c>
    </row>
    <row r="69" spans="1:33" x14ac:dyDescent="0.15">
      <c r="A69" s="18" t="s">
        <v>42</v>
      </c>
      <c r="B69" s="19" t="s">
        <v>26</v>
      </c>
      <c r="C69" s="8"/>
      <c r="D69" s="187">
        <v>1</v>
      </c>
      <c r="E69" s="188">
        <v>1</v>
      </c>
      <c r="F69" s="187">
        <v>1</v>
      </c>
      <c r="G69" s="188">
        <v>1</v>
      </c>
      <c r="H69" s="187">
        <v>1</v>
      </c>
      <c r="I69" s="188">
        <v>1</v>
      </c>
      <c r="J69" s="187">
        <v>1</v>
      </c>
      <c r="K69" s="188">
        <v>1</v>
      </c>
      <c r="L69" s="187">
        <v>1</v>
      </c>
      <c r="M69" s="188">
        <v>1</v>
      </c>
      <c r="N69" s="187">
        <v>1</v>
      </c>
      <c r="O69" s="188">
        <v>1</v>
      </c>
      <c r="P69" s="187">
        <v>1</v>
      </c>
      <c r="Q69" s="188">
        <v>1</v>
      </c>
      <c r="R69" s="187">
        <v>1</v>
      </c>
      <c r="S69" s="188">
        <v>1</v>
      </c>
      <c r="T69" s="187">
        <v>1</v>
      </c>
      <c r="U69" s="188">
        <v>1</v>
      </c>
      <c r="V69" s="187">
        <v>1</v>
      </c>
      <c r="W69" s="188">
        <v>1</v>
      </c>
      <c r="X69" s="187">
        <v>1</v>
      </c>
      <c r="Y69" s="188">
        <v>1</v>
      </c>
      <c r="Z69" s="187">
        <v>1</v>
      </c>
      <c r="AA69" s="188">
        <v>1</v>
      </c>
      <c r="AB69" s="187">
        <v>1</v>
      </c>
      <c r="AC69" s="188">
        <v>1</v>
      </c>
      <c r="AD69" s="187">
        <v>1</v>
      </c>
      <c r="AE69" s="188">
        <v>1</v>
      </c>
      <c r="AF69" s="187">
        <v>1</v>
      </c>
      <c r="AG69" s="188">
        <v>1</v>
      </c>
    </row>
    <row r="70" spans="1:33" x14ac:dyDescent="0.15">
      <c r="A70" s="15"/>
      <c r="B70" s="10" t="s">
        <v>30</v>
      </c>
      <c r="C70" s="8"/>
      <c r="D70" s="189">
        <v>0</v>
      </c>
      <c r="E70" s="190">
        <v>0</v>
      </c>
      <c r="F70" s="189">
        <v>0</v>
      </c>
      <c r="G70" s="190">
        <v>0</v>
      </c>
      <c r="H70" s="189">
        <v>0</v>
      </c>
      <c r="I70" s="190">
        <v>0</v>
      </c>
      <c r="J70" s="189">
        <v>0</v>
      </c>
      <c r="K70" s="190">
        <v>0</v>
      </c>
      <c r="L70" s="189">
        <v>0</v>
      </c>
      <c r="M70" s="190">
        <v>0</v>
      </c>
      <c r="N70" s="189">
        <v>0</v>
      </c>
      <c r="O70" s="190">
        <v>0</v>
      </c>
      <c r="P70" s="189">
        <v>0</v>
      </c>
      <c r="Q70" s="190">
        <v>0</v>
      </c>
      <c r="R70" s="189">
        <v>0</v>
      </c>
      <c r="S70" s="190">
        <v>0</v>
      </c>
      <c r="T70" s="189">
        <v>0</v>
      </c>
      <c r="U70" s="190">
        <v>0</v>
      </c>
      <c r="V70" s="189">
        <v>0</v>
      </c>
      <c r="W70" s="190">
        <v>0</v>
      </c>
      <c r="X70" s="189">
        <v>0</v>
      </c>
      <c r="Y70" s="190">
        <v>0</v>
      </c>
      <c r="Z70" s="189">
        <v>0</v>
      </c>
      <c r="AA70" s="190">
        <v>0</v>
      </c>
      <c r="AB70" s="189">
        <v>0</v>
      </c>
      <c r="AC70" s="190">
        <v>0</v>
      </c>
      <c r="AD70" s="189">
        <v>0</v>
      </c>
      <c r="AE70" s="190">
        <v>0</v>
      </c>
      <c r="AF70" s="189">
        <v>0</v>
      </c>
      <c r="AG70" s="190">
        <v>0</v>
      </c>
    </row>
    <row r="71" spans="1:33" x14ac:dyDescent="0.15">
      <c r="A71" s="15"/>
      <c r="B71" s="10" t="s">
        <v>28</v>
      </c>
      <c r="C71" s="8"/>
      <c r="D71" s="189">
        <v>0</v>
      </c>
      <c r="E71" s="190">
        <v>0</v>
      </c>
      <c r="F71" s="189">
        <v>0</v>
      </c>
      <c r="G71" s="190">
        <v>0</v>
      </c>
      <c r="H71" s="189">
        <v>0</v>
      </c>
      <c r="I71" s="190">
        <v>0</v>
      </c>
      <c r="J71" s="189">
        <v>0</v>
      </c>
      <c r="K71" s="190">
        <v>0</v>
      </c>
      <c r="L71" s="189">
        <v>0</v>
      </c>
      <c r="M71" s="190">
        <v>0</v>
      </c>
      <c r="N71" s="189">
        <v>0</v>
      </c>
      <c r="O71" s="190">
        <v>0</v>
      </c>
      <c r="P71" s="189">
        <v>0</v>
      </c>
      <c r="Q71" s="190">
        <v>0</v>
      </c>
      <c r="R71" s="189">
        <v>0</v>
      </c>
      <c r="S71" s="190">
        <v>0</v>
      </c>
      <c r="T71" s="189">
        <v>0</v>
      </c>
      <c r="U71" s="190">
        <v>0</v>
      </c>
      <c r="V71" s="189">
        <v>0</v>
      </c>
      <c r="W71" s="190">
        <v>0</v>
      </c>
      <c r="X71" s="189">
        <v>0</v>
      </c>
      <c r="Y71" s="190">
        <v>0</v>
      </c>
      <c r="Z71" s="189">
        <v>0</v>
      </c>
      <c r="AA71" s="190">
        <v>0</v>
      </c>
      <c r="AB71" s="189">
        <v>0</v>
      </c>
      <c r="AC71" s="190">
        <v>0</v>
      </c>
      <c r="AD71" s="189">
        <v>0</v>
      </c>
      <c r="AE71" s="190">
        <v>0</v>
      </c>
      <c r="AF71" s="189">
        <v>0</v>
      </c>
      <c r="AG71" s="190">
        <v>0</v>
      </c>
    </row>
    <row r="72" spans="1:33" x14ac:dyDescent="0.15">
      <c r="A72" s="15"/>
      <c r="B72" s="10" t="s">
        <v>29</v>
      </c>
      <c r="C72" s="8"/>
      <c r="D72" s="189">
        <v>0</v>
      </c>
      <c r="E72" s="190">
        <v>0</v>
      </c>
      <c r="F72" s="189">
        <v>0</v>
      </c>
      <c r="G72" s="190">
        <v>0</v>
      </c>
      <c r="H72" s="189">
        <v>0</v>
      </c>
      <c r="I72" s="190">
        <v>0</v>
      </c>
      <c r="J72" s="189">
        <v>0</v>
      </c>
      <c r="K72" s="190">
        <v>0</v>
      </c>
      <c r="L72" s="189">
        <v>0</v>
      </c>
      <c r="M72" s="190">
        <v>0</v>
      </c>
      <c r="N72" s="189">
        <v>0</v>
      </c>
      <c r="O72" s="190">
        <v>0</v>
      </c>
      <c r="P72" s="189">
        <v>0</v>
      </c>
      <c r="Q72" s="190">
        <v>0</v>
      </c>
      <c r="R72" s="189">
        <v>0</v>
      </c>
      <c r="S72" s="190">
        <v>0</v>
      </c>
      <c r="T72" s="189">
        <v>0</v>
      </c>
      <c r="U72" s="190">
        <v>0</v>
      </c>
      <c r="V72" s="189">
        <v>0</v>
      </c>
      <c r="W72" s="190">
        <v>0</v>
      </c>
      <c r="X72" s="189">
        <v>0</v>
      </c>
      <c r="Y72" s="190">
        <v>0</v>
      </c>
      <c r="Z72" s="189">
        <v>0</v>
      </c>
      <c r="AA72" s="190">
        <v>0</v>
      </c>
      <c r="AB72" s="189">
        <v>0</v>
      </c>
      <c r="AC72" s="190">
        <v>0</v>
      </c>
      <c r="AD72" s="189">
        <v>0</v>
      </c>
      <c r="AE72" s="190">
        <v>0</v>
      </c>
      <c r="AF72" s="189">
        <v>0</v>
      </c>
      <c r="AG72" s="190">
        <v>0</v>
      </c>
    </row>
    <row r="73" spans="1:33" x14ac:dyDescent="0.15">
      <c r="A73" s="14"/>
      <c r="B73" s="9" t="s">
        <v>12</v>
      </c>
      <c r="C73" s="443"/>
      <c r="D73" s="191">
        <v>0</v>
      </c>
      <c r="E73" s="192">
        <v>0</v>
      </c>
      <c r="F73" s="191">
        <v>0</v>
      </c>
      <c r="G73" s="192">
        <v>0</v>
      </c>
      <c r="H73" s="191">
        <v>0</v>
      </c>
      <c r="I73" s="192">
        <v>0</v>
      </c>
      <c r="J73" s="191">
        <v>0</v>
      </c>
      <c r="K73" s="192">
        <v>0</v>
      </c>
      <c r="L73" s="191">
        <v>0</v>
      </c>
      <c r="M73" s="192">
        <v>0</v>
      </c>
      <c r="N73" s="191">
        <v>0</v>
      </c>
      <c r="O73" s="192">
        <v>0</v>
      </c>
      <c r="P73" s="191">
        <v>0</v>
      </c>
      <c r="Q73" s="192">
        <v>0</v>
      </c>
      <c r="R73" s="191">
        <v>0</v>
      </c>
      <c r="S73" s="192">
        <v>0</v>
      </c>
      <c r="T73" s="191">
        <v>0</v>
      </c>
      <c r="U73" s="192">
        <v>0</v>
      </c>
      <c r="V73" s="191">
        <v>0</v>
      </c>
      <c r="W73" s="192">
        <v>0</v>
      </c>
      <c r="X73" s="191">
        <v>0</v>
      </c>
      <c r="Y73" s="192">
        <v>0</v>
      </c>
      <c r="Z73" s="191">
        <v>0</v>
      </c>
      <c r="AA73" s="192">
        <v>0</v>
      </c>
      <c r="AB73" s="191">
        <v>0</v>
      </c>
      <c r="AC73" s="192">
        <v>0</v>
      </c>
      <c r="AD73" s="191">
        <v>0</v>
      </c>
      <c r="AE73" s="192">
        <v>0</v>
      </c>
      <c r="AF73" s="191">
        <v>0</v>
      </c>
      <c r="AG73" s="192">
        <v>0</v>
      </c>
    </row>
    <row r="74" spans="1:33" x14ac:dyDescent="0.15">
      <c r="A74" s="15" t="s">
        <v>41</v>
      </c>
      <c r="B74" s="10" t="s">
        <v>26</v>
      </c>
      <c r="C74" s="8"/>
      <c r="D74" s="189">
        <v>0</v>
      </c>
      <c r="E74" s="190">
        <v>0</v>
      </c>
      <c r="F74" s="189">
        <v>0</v>
      </c>
      <c r="G74" s="190">
        <v>0</v>
      </c>
      <c r="H74" s="189">
        <v>0</v>
      </c>
      <c r="I74" s="190">
        <v>0</v>
      </c>
      <c r="J74" s="189">
        <v>0</v>
      </c>
      <c r="K74" s="190">
        <v>0</v>
      </c>
      <c r="L74" s="189">
        <v>0</v>
      </c>
      <c r="M74" s="190">
        <v>0</v>
      </c>
      <c r="N74" s="189">
        <v>0</v>
      </c>
      <c r="O74" s="190">
        <v>0</v>
      </c>
      <c r="P74" s="189">
        <v>0</v>
      </c>
      <c r="Q74" s="190">
        <v>0</v>
      </c>
      <c r="R74" s="189">
        <v>0</v>
      </c>
      <c r="S74" s="190">
        <v>0</v>
      </c>
      <c r="T74" s="189">
        <v>0</v>
      </c>
      <c r="U74" s="190">
        <v>0</v>
      </c>
      <c r="V74" s="189">
        <v>0</v>
      </c>
      <c r="W74" s="190">
        <v>0</v>
      </c>
      <c r="X74" s="189">
        <v>0</v>
      </c>
      <c r="Y74" s="190">
        <v>0</v>
      </c>
      <c r="Z74" s="189">
        <v>0</v>
      </c>
      <c r="AA74" s="190">
        <v>0</v>
      </c>
      <c r="AB74" s="189">
        <v>0</v>
      </c>
      <c r="AC74" s="190">
        <v>0</v>
      </c>
      <c r="AD74" s="189">
        <v>0</v>
      </c>
      <c r="AE74" s="190">
        <v>0</v>
      </c>
      <c r="AF74" s="189">
        <v>0</v>
      </c>
      <c r="AG74" s="190">
        <v>0</v>
      </c>
    </row>
    <row r="75" spans="1:33" x14ac:dyDescent="0.15">
      <c r="A75" s="15"/>
      <c r="B75" s="10" t="s">
        <v>30</v>
      </c>
      <c r="C75" s="8"/>
      <c r="D75" s="189">
        <v>0</v>
      </c>
      <c r="E75" s="190">
        <v>0</v>
      </c>
      <c r="F75" s="189">
        <v>0</v>
      </c>
      <c r="G75" s="190">
        <v>0</v>
      </c>
      <c r="H75" s="189">
        <v>0</v>
      </c>
      <c r="I75" s="190">
        <v>0</v>
      </c>
      <c r="J75" s="189">
        <v>0</v>
      </c>
      <c r="K75" s="190">
        <v>0</v>
      </c>
      <c r="L75" s="189">
        <v>0</v>
      </c>
      <c r="M75" s="190">
        <v>0</v>
      </c>
      <c r="N75" s="189">
        <v>0</v>
      </c>
      <c r="O75" s="190">
        <v>0</v>
      </c>
      <c r="P75" s="189">
        <v>0</v>
      </c>
      <c r="Q75" s="190">
        <v>0</v>
      </c>
      <c r="R75" s="189">
        <v>0</v>
      </c>
      <c r="S75" s="190">
        <v>0</v>
      </c>
      <c r="T75" s="189">
        <v>0</v>
      </c>
      <c r="U75" s="190">
        <v>0</v>
      </c>
      <c r="V75" s="189">
        <v>0</v>
      </c>
      <c r="W75" s="190">
        <v>0</v>
      </c>
      <c r="X75" s="189">
        <v>0</v>
      </c>
      <c r="Y75" s="190">
        <v>0</v>
      </c>
      <c r="Z75" s="189">
        <v>0</v>
      </c>
      <c r="AA75" s="190">
        <v>0</v>
      </c>
      <c r="AB75" s="189">
        <v>0</v>
      </c>
      <c r="AC75" s="190">
        <v>0</v>
      </c>
      <c r="AD75" s="189">
        <v>0</v>
      </c>
      <c r="AE75" s="190">
        <v>0</v>
      </c>
      <c r="AF75" s="189">
        <v>0</v>
      </c>
      <c r="AG75" s="190">
        <v>0</v>
      </c>
    </row>
    <row r="76" spans="1:33" x14ac:dyDescent="0.15">
      <c r="A76" s="15"/>
      <c r="B76" s="10" t="s">
        <v>28</v>
      </c>
      <c r="C76" s="8"/>
      <c r="D76" s="189">
        <v>0</v>
      </c>
      <c r="E76" s="190">
        <v>0</v>
      </c>
      <c r="F76" s="189">
        <v>0</v>
      </c>
      <c r="G76" s="190">
        <v>0</v>
      </c>
      <c r="H76" s="189">
        <v>0</v>
      </c>
      <c r="I76" s="190">
        <v>0</v>
      </c>
      <c r="J76" s="189">
        <v>0</v>
      </c>
      <c r="K76" s="190">
        <v>0</v>
      </c>
      <c r="L76" s="189">
        <v>0</v>
      </c>
      <c r="M76" s="190">
        <v>0</v>
      </c>
      <c r="N76" s="189">
        <v>0</v>
      </c>
      <c r="O76" s="190">
        <v>0</v>
      </c>
      <c r="P76" s="189">
        <v>0</v>
      </c>
      <c r="Q76" s="190">
        <v>0</v>
      </c>
      <c r="R76" s="189">
        <v>0</v>
      </c>
      <c r="S76" s="190">
        <v>0</v>
      </c>
      <c r="T76" s="189">
        <v>0</v>
      </c>
      <c r="U76" s="190">
        <v>0</v>
      </c>
      <c r="V76" s="189">
        <v>0</v>
      </c>
      <c r="W76" s="190">
        <v>0</v>
      </c>
      <c r="X76" s="189">
        <v>0</v>
      </c>
      <c r="Y76" s="190">
        <v>0</v>
      </c>
      <c r="Z76" s="189">
        <v>0</v>
      </c>
      <c r="AA76" s="190">
        <v>0</v>
      </c>
      <c r="AB76" s="189">
        <v>0</v>
      </c>
      <c r="AC76" s="190">
        <v>0</v>
      </c>
      <c r="AD76" s="189">
        <v>0</v>
      </c>
      <c r="AE76" s="190">
        <v>0</v>
      </c>
      <c r="AF76" s="189">
        <v>0</v>
      </c>
      <c r="AG76" s="190">
        <v>0</v>
      </c>
    </row>
    <row r="77" spans="1:33" x14ac:dyDescent="0.15">
      <c r="A77" s="15"/>
      <c r="B77" s="10" t="s">
        <v>29</v>
      </c>
      <c r="C77" s="8"/>
      <c r="D77" s="189">
        <v>0</v>
      </c>
      <c r="E77" s="190">
        <v>0</v>
      </c>
      <c r="F77" s="189">
        <v>0</v>
      </c>
      <c r="G77" s="190">
        <v>0</v>
      </c>
      <c r="H77" s="189">
        <v>0</v>
      </c>
      <c r="I77" s="190">
        <v>0</v>
      </c>
      <c r="J77" s="189">
        <v>0</v>
      </c>
      <c r="K77" s="190">
        <v>0</v>
      </c>
      <c r="L77" s="189">
        <v>0</v>
      </c>
      <c r="M77" s="190">
        <v>0</v>
      </c>
      <c r="N77" s="189">
        <v>0</v>
      </c>
      <c r="O77" s="190">
        <v>0</v>
      </c>
      <c r="P77" s="189">
        <v>0</v>
      </c>
      <c r="Q77" s="190">
        <v>0</v>
      </c>
      <c r="R77" s="189">
        <v>0</v>
      </c>
      <c r="S77" s="190">
        <v>0</v>
      </c>
      <c r="T77" s="189">
        <v>0</v>
      </c>
      <c r="U77" s="190">
        <v>0</v>
      </c>
      <c r="V77" s="189">
        <v>0</v>
      </c>
      <c r="W77" s="190">
        <v>0</v>
      </c>
      <c r="X77" s="189">
        <v>0</v>
      </c>
      <c r="Y77" s="190">
        <v>0</v>
      </c>
      <c r="Z77" s="189">
        <v>0</v>
      </c>
      <c r="AA77" s="190">
        <v>0</v>
      </c>
      <c r="AB77" s="189">
        <v>0</v>
      </c>
      <c r="AC77" s="190">
        <v>0</v>
      </c>
      <c r="AD77" s="189">
        <v>0</v>
      </c>
      <c r="AE77" s="190">
        <v>0</v>
      </c>
      <c r="AF77" s="189">
        <v>0</v>
      </c>
      <c r="AG77" s="190">
        <v>0</v>
      </c>
    </row>
    <row r="78" spans="1:33" ht="15" thickBot="1" x14ac:dyDescent="0.2">
      <c r="A78" s="16"/>
      <c r="B78" s="4" t="s">
        <v>12</v>
      </c>
      <c r="C78" s="13"/>
      <c r="D78" s="193">
        <v>0</v>
      </c>
      <c r="E78" s="194">
        <v>0</v>
      </c>
      <c r="F78" s="193">
        <v>0</v>
      </c>
      <c r="G78" s="194">
        <v>0</v>
      </c>
      <c r="H78" s="193">
        <v>0</v>
      </c>
      <c r="I78" s="194">
        <v>0</v>
      </c>
      <c r="J78" s="193">
        <v>0</v>
      </c>
      <c r="K78" s="194">
        <v>0</v>
      </c>
      <c r="L78" s="193">
        <v>0</v>
      </c>
      <c r="M78" s="194">
        <v>0</v>
      </c>
      <c r="N78" s="193">
        <v>0</v>
      </c>
      <c r="O78" s="194">
        <v>0</v>
      </c>
      <c r="P78" s="193">
        <v>0</v>
      </c>
      <c r="Q78" s="194">
        <v>0</v>
      </c>
      <c r="R78" s="193">
        <v>0</v>
      </c>
      <c r="S78" s="194">
        <v>0</v>
      </c>
      <c r="T78" s="193">
        <v>0</v>
      </c>
      <c r="U78" s="194">
        <v>0</v>
      </c>
      <c r="V78" s="193">
        <v>0</v>
      </c>
      <c r="W78" s="194">
        <v>0</v>
      </c>
      <c r="X78" s="193">
        <v>0</v>
      </c>
      <c r="Y78" s="194">
        <v>0</v>
      </c>
      <c r="Z78" s="193">
        <v>0</v>
      </c>
      <c r="AA78" s="194">
        <v>0</v>
      </c>
      <c r="AB78" s="193">
        <v>0</v>
      </c>
      <c r="AC78" s="194">
        <v>0</v>
      </c>
      <c r="AD78" s="193">
        <v>0</v>
      </c>
      <c r="AE78" s="194">
        <v>0</v>
      </c>
      <c r="AF78" s="193">
        <v>0</v>
      </c>
      <c r="AG78" s="194">
        <v>0</v>
      </c>
    </row>
    <row r="79" spans="1:33" ht="15" thickBot="1" x14ac:dyDescent="0.2">
      <c r="A79" s="38" t="s">
        <v>465</v>
      </c>
    </row>
    <row r="80" spans="1:33" ht="30" x14ac:dyDescent="0.15">
      <c r="A80" s="566" t="s">
        <v>457</v>
      </c>
      <c r="B80" s="567" t="s">
        <v>31</v>
      </c>
      <c r="C80" s="579" t="s">
        <v>468</v>
      </c>
      <c r="D80" s="575">
        <f>SUM(D81:D84)</f>
        <v>0</v>
      </c>
      <c r="E80" s="576">
        <f>SUM(E81:E84)</f>
        <v>0</v>
      </c>
      <c r="F80" s="575">
        <f t="shared" ref="F80:AG80" si="47">SUM(F81:F84)</f>
        <v>0</v>
      </c>
      <c r="G80" s="576">
        <f t="shared" si="47"/>
        <v>0</v>
      </c>
      <c r="H80" s="575">
        <f t="shared" si="47"/>
        <v>0</v>
      </c>
      <c r="I80" s="576">
        <f t="shared" si="47"/>
        <v>0</v>
      </c>
      <c r="J80" s="575">
        <f t="shared" si="47"/>
        <v>0</v>
      </c>
      <c r="K80" s="576">
        <f t="shared" si="47"/>
        <v>0</v>
      </c>
      <c r="L80" s="575">
        <f t="shared" si="47"/>
        <v>0</v>
      </c>
      <c r="M80" s="576">
        <f t="shared" si="47"/>
        <v>0</v>
      </c>
      <c r="N80" s="575">
        <f t="shared" si="47"/>
        <v>0</v>
      </c>
      <c r="O80" s="576">
        <f t="shared" si="47"/>
        <v>0</v>
      </c>
      <c r="P80" s="575">
        <f t="shared" si="47"/>
        <v>0</v>
      </c>
      <c r="Q80" s="576">
        <f t="shared" si="47"/>
        <v>0</v>
      </c>
      <c r="R80" s="575">
        <f t="shared" si="47"/>
        <v>0</v>
      </c>
      <c r="S80" s="576">
        <f t="shared" si="47"/>
        <v>0</v>
      </c>
      <c r="T80" s="575">
        <f t="shared" si="47"/>
        <v>0</v>
      </c>
      <c r="U80" s="576">
        <f t="shared" si="47"/>
        <v>0</v>
      </c>
      <c r="V80" s="575">
        <f t="shared" si="47"/>
        <v>0</v>
      </c>
      <c r="W80" s="576">
        <f t="shared" si="47"/>
        <v>0</v>
      </c>
      <c r="X80" s="575">
        <f t="shared" si="47"/>
        <v>0</v>
      </c>
      <c r="Y80" s="576">
        <f t="shared" si="47"/>
        <v>0</v>
      </c>
      <c r="Z80" s="575">
        <f t="shared" si="47"/>
        <v>0</v>
      </c>
      <c r="AA80" s="576">
        <f t="shared" si="47"/>
        <v>0</v>
      </c>
      <c r="AB80" s="575">
        <f t="shared" si="47"/>
        <v>0</v>
      </c>
      <c r="AC80" s="576">
        <f t="shared" si="47"/>
        <v>0</v>
      </c>
      <c r="AD80" s="575">
        <f t="shared" si="47"/>
        <v>0</v>
      </c>
      <c r="AE80" s="576">
        <f t="shared" si="47"/>
        <v>0</v>
      </c>
      <c r="AF80" s="575">
        <f t="shared" si="47"/>
        <v>0</v>
      </c>
      <c r="AG80" s="576">
        <f t="shared" si="47"/>
        <v>0</v>
      </c>
    </row>
    <row r="81" spans="1:33" x14ac:dyDescent="0.15">
      <c r="A81" s="561"/>
      <c r="B81" s="569"/>
      <c r="C81" s="580" t="s">
        <v>469</v>
      </c>
      <c r="D81" s="582"/>
      <c r="E81" s="583"/>
      <c r="H81" s="582"/>
      <c r="I81" s="583"/>
      <c r="L81" s="582"/>
      <c r="M81" s="583"/>
      <c r="P81" s="582"/>
      <c r="Q81" s="583"/>
      <c r="T81" s="582"/>
      <c r="U81" s="583"/>
      <c r="X81" s="582"/>
      <c r="Y81" s="583"/>
      <c r="AB81" s="582"/>
      <c r="AC81" s="583"/>
      <c r="AF81" s="582"/>
      <c r="AG81" s="583"/>
    </row>
    <row r="82" spans="1:33" x14ac:dyDescent="0.15">
      <c r="A82" s="561"/>
      <c r="B82" s="569"/>
      <c r="C82" s="580" t="s">
        <v>470</v>
      </c>
      <c r="D82" s="582"/>
      <c r="E82" s="583"/>
      <c r="H82" s="582"/>
      <c r="I82" s="583"/>
      <c r="L82" s="582"/>
      <c r="M82" s="583"/>
      <c r="P82" s="582"/>
      <c r="Q82" s="583"/>
      <c r="T82" s="582"/>
      <c r="U82" s="583"/>
      <c r="X82" s="582"/>
      <c r="Y82" s="583"/>
      <c r="AB82" s="582"/>
      <c r="AC82" s="583"/>
      <c r="AF82" s="582"/>
      <c r="AG82" s="583"/>
    </row>
    <row r="83" spans="1:33" x14ac:dyDescent="0.15">
      <c r="A83" s="561"/>
      <c r="B83" s="569"/>
      <c r="C83" s="580" t="s">
        <v>471</v>
      </c>
      <c r="D83" s="582"/>
      <c r="E83" s="583"/>
      <c r="H83" s="582"/>
      <c r="I83" s="583"/>
      <c r="L83" s="582"/>
      <c r="M83" s="583"/>
      <c r="P83" s="582"/>
      <c r="Q83" s="583"/>
      <c r="T83" s="582"/>
      <c r="U83" s="583"/>
      <c r="X83" s="582"/>
      <c r="Y83" s="583"/>
      <c r="AB83" s="582"/>
      <c r="AC83" s="583"/>
      <c r="AF83" s="582"/>
      <c r="AG83" s="583"/>
    </row>
    <row r="84" spans="1:33" ht="15" thickBot="1" x14ac:dyDescent="0.2">
      <c r="A84" s="561"/>
      <c r="B84" s="569"/>
      <c r="C84" s="580" t="s">
        <v>472</v>
      </c>
      <c r="D84" s="582"/>
      <c r="E84" s="583"/>
      <c r="H84" s="582"/>
      <c r="I84" s="583"/>
      <c r="L84" s="582"/>
      <c r="M84" s="583"/>
      <c r="P84" s="582"/>
      <c r="Q84" s="583"/>
      <c r="T84" s="582"/>
      <c r="U84" s="583"/>
      <c r="X84" s="582"/>
      <c r="Y84" s="583"/>
      <c r="AB84" s="582"/>
      <c r="AC84" s="583"/>
      <c r="AF84" s="582"/>
      <c r="AG84" s="583"/>
    </row>
    <row r="85" spans="1:33" ht="15" x14ac:dyDescent="0.15">
      <c r="A85" s="565" t="s">
        <v>443</v>
      </c>
      <c r="B85" s="567" t="s">
        <v>31</v>
      </c>
      <c r="C85" s="579" t="s">
        <v>477</v>
      </c>
      <c r="D85" s="575">
        <f>SUM(D86:D89)</f>
        <v>0</v>
      </c>
      <c r="E85" s="576">
        <f>SUM(E86:E89)</f>
        <v>0</v>
      </c>
      <c r="F85" s="575">
        <f t="shared" ref="F85" si="48">SUM(F86:F89)</f>
        <v>0</v>
      </c>
      <c r="G85" s="576">
        <f t="shared" ref="G85" si="49">SUM(G86:G89)</f>
        <v>0</v>
      </c>
      <c r="H85" s="575">
        <f t="shared" ref="H85" si="50">SUM(H86:H89)</f>
        <v>0</v>
      </c>
      <c r="I85" s="576">
        <f t="shared" ref="I85" si="51">SUM(I86:I89)</f>
        <v>0</v>
      </c>
      <c r="J85" s="575">
        <f t="shared" ref="J85" si="52">SUM(J86:J89)</f>
        <v>0</v>
      </c>
      <c r="K85" s="576">
        <f t="shared" ref="K85" si="53">SUM(K86:K89)</f>
        <v>0</v>
      </c>
      <c r="L85" s="575">
        <f t="shared" ref="L85" si="54">SUM(L86:L89)</f>
        <v>0</v>
      </c>
      <c r="M85" s="576">
        <f t="shared" ref="M85" si="55">SUM(M86:M89)</f>
        <v>0</v>
      </c>
      <c r="N85" s="575">
        <f t="shared" ref="N85" si="56">SUM(N86:N89)</f>
        <v>0</v>
      </c>
      <c r="O85" s="576">
        <f t="shared" ref="O85" si="57">SUM(O86:O89)</f>
        <v>0</v>
      </c>
      <c r="P85" s="575">
        <f t="shared" ref="P85" si="58">SUM(P86:P89)</f>
        <v>0</v>
      </c>
      <c r="Q85" s="576">
        <f t="shared" ref="Q85" si="59">SUM(Q86:Q89)</f>
        <v>0</v>
      </c>
      <c r="R85" s="575">
        <f t="shared" ref="R85" si="60">SUM(R86:R89)</f>
        <v>0</v>
      </c>
      <c r="S85" s="576">
        <f t="shared" ref="S85" si="61">SUM(S86:S89)</f>
        <v>0</v>
      </c>
      <c r="T85" s="575">
        <f t="shared" ref="T85" si="62">SUM(T86:T89)</f>
        <v>0</v>
      </c>
      <c r="U85" s="576">
        <f t="shared" ref="U85" si="63">SUM(U86:U89)</f>
        <v>0</v>
      </c>
      <c r="V85" s="575">
        <f t="shared" ref="V85" si="64">SUM(V86:V89)</f>
        <v>0</v>
      </c>
      <c r="W85" s="576">
        <f t="shared" ref="W85" si="65">SUM(W86:W89)</f>
        <v>0</v>
      </c>
      <c r="X85" s="575">
        <f t="shared" ref="X85" si="66">SUM(X86:X89)</f>
        <v>0</v>
      </c>
      <c r="Y85" s="576">
        <f t="shared" ref="Y85" si="67">SUM(Y86:Y89)</f>
        <v>0</v>
      </c>
      <c r="Z85" s="575">
        <f t="shared" ref="Z85" si="68">SUM(Z86:Z89)</f>
        <v>0</v>
      </c>
      <c r="AA85" s="576">
        <f t="shared" ref="AA85" si="69">SUM(AA86:AA89)</f>
        <v>0</v>
      </c>
      <c r="AB85" s="575">
        <f t="shared" ref="AB85" si="70">SUM(AB86:AB89)</f>
        <v>0</v>
      </c>
      <c r="AC85" s="576">
        <f t="shared" ref="AC85" si="71">SUM(AC86:AC89)</f>
        <v>0</v>
      </c>
      <c r="AD85" s="575">
        <f t="shared" ref="AD85" si="72">SUM(AD86:AD89)</f>
        <v>0</v>
      </c>
      <c r="AE85" s="576">
        <f t="shared" ref="AE85" si="73">SUM(AE86:AE89)</f>
        <v>0</v>
      </c>
      <c r="AF85" s="575">
        <f t="shared" ref="AF85" si="74">SUM(AF86:AF89)</f>
        <v>0</v>
      </c>
      <c r="AG85" s="576">
        <f t="shared" ref="AG85" si="75">SUM(AG86:AG89)</f>
        <v>0</v>
      </c>
    </row>
    <row r="86" spans="1:33" x14ac:dyDescent="0.15">
      <c r="A86" s="561"/>
      <c r="B86" s="569"/>
      <c r="C86" s="580" t="s">
        <v>474</v>
      </c>
      <c r="D86" s="582"/>
      <c r="E86" s="583"/>
      <c r="H86" s="582"/>
      <c r="I86" s="583"/>
      <c r="L86" s="582"/>
      <c r="M86" s="583"/>
      <c r="P86" s="582"/>
      <c r="Q86" s="583"/>
      <c r="T86" s="582"/>
      <c r="U86" s="583"/>
      <c r="X86" s="582"/>
      <c r="Y86" s="583"/>
      <c r="AB86" s="582"/>
      <c r="AC86" s="583"/>
      <c r="AF86" s="582"/>
      <c r="AG86" s="583"/>
    </row>
    <row r="87" spans="1:33" x14ac:dyDescent="0.15">
      <c r="A87" s="561"/>
      <c r="B87" s="569"/>
      <c r="C87" s="580" t="s">
        <v>473</v>
      </c>
      <c r="D87" s="582"/>
      <c r="E87" s="583"/>
      <c r="H87" s="582"/>
      <c r="I87" s="583"/>
      <c r="L87" s="582"/>
      <c r="M87" s="583"/>
      <c r="P87" s="582"/>
      <c r="Q87" s="583"/>
      <c r="T87" s="582"/>
      <c r="U87" s="583"/>
      <c r="X87" s="582"/>
      <c r="Y87" s="583"/>
      <c r="AB87" s="582"/>
      <c r="AC87" s="583"/>
      <c r="AF87" s="582"/>
      <c r="AG87" s="583"/>
    </row>
    <row r="88" spans="1:33" x14ac:dyDescent="0.15">
      <c r="A88" s="561"/>
      <c r="B88" s="569"/>
      <c r="C88" s="580" t="s">
        <v>475</v>
      </c>
      <c r="D88" s="582"/>
      <c r="E88" s="583"/>
      <c r="H88" s="582"/>
      <c r="I88" s="583"/>
      <c r="L88" s="582"/>
      <c r="M88" s="583"/>
      <c r="P88" s="582"/>
      <c r="Q88" s="583"/>
      <c r="T88" s="582"/>
      <c r="U88" s="583"/>
      <c r="X88" s="582"/>
      <c r="Y88" s="583"/>
      <c r="AB88" s="582"/>
      <c r="AC88" s="583"/>
      <c r="AF88" s="582"/>
      <c r="AG88" s="583"/>
    </row>
    <row r="89" spans="1:33" ht="15" thickBot="1" x14ac:dyDescent="0.2">
      <c r="A89" s="561"/>
      <c r="B89" s="569"/>
      <c r="C89" s="580" t="s">
        <v>476</v>
      </c>
      <c r="D89" s="582"/>
      <c r="E89" s="583"/>
      <c r="H89" s="582"/>
      <c r="I89" s="583"/>
      <c r="L89" s="582"/>
      <c r="M89" s="583"/>
      <c r="P89" s="582"/>
      <c r="Q89" s="583"/>
      <c r="T89" s="582"/>
      <c r="U89" s="583"/>
      <c r="X89" s="582"/>
      <c r="Y89" s="583"/>
      <c r="AB89" s="582"/>
      <c r="AC89" s="583"/>
      <c r="AF89" s="582"/>
      <c r="AG89" s="583"/>
    </row>
    <row r="90" spans="1:33" ht="30" x14ac:dyDescent="0.15">
      <c r="A90" s="564" t="s">
        <v>466</v>
      </c>
      <c r="B90" s="571" t="s">
        <v>31</v>
      </c>
      <c r="C90" s="584" t="s">
        <v>478</v>
      </c>
      <c r="D90" s="575">
        <f>SUM(D91:D94)</f>
        <v>0</v>
      </c>
      <c r="E90" s="576">
        <f>SUM(E91:E94)</f>
        <v>0</v>
      </c>
      <c r="F90" s="575">
        <f t="shared" ref="F90" si="76">SUM(F91:F94)</f>
        <v>0</v>
      </c>
      <c r="G90" s="576">
        <f t="shared" ref="G90" si="77">SUM(G91:G94)</f>
        <v>0</v>
      </c>
      <c r="H90" s="575">
        <f t="shared" ref="H90" si="78">SUM(H91:H94)</f>
        <v>0</v>
      </c>
      <c r="I90" s="576">
        <f t="shared" ref="I90" si="79">SUM(I91:I94)</f>
        <v>0</v>
      </c>
      <c r="J90" s="575">
        <f t="shared" ref="J90" si="80">SUM(J91:J94)</f>
        <v>0</v>
      </c>
      <c r="K90" s="576">
        <f t="shared" ref="K90" si="81">SUM(K91:K94)</f>
        <v>0</v>
      </c>
      <c r="L90" s="575">
        <f t="shared" ref="L90" si="82">SUM(L91:L94)</f>
        <v>0</v>
      </c>
      <c r="M90" s="576">
        <f t="shared" ref="M90" si="83">SUM(M91:M94)</f>
        <v>0</v>
      </c>
      <c r="N90" s="575">
        <f t="shared" ref="N90" si="84">SUM(N91:N94)</f>
        <v>0</v>
      </c>
      <c r="O90" s="576">
        <f t="shared" ref="O90" si="85">SUM(O91:O94)</f>
        <v>0</v>
      </c>
      <c r="P90" s="575">
        <f t="shared" ref="P90" si="86">SUM(P91:P94)</f>
        <v>0</v>
      </c>
      <c r="Q90" s="576">
        <f t="shared" ref="Q90" si="87">SUM(Q91:Q94)</f>
        <v>0</v>
      </c>
      <c r="R90" s="575">
        <f t="shared" ref="R90" si="88">SUM(R91:R94)</f>
        <v>0</v>
      </c>
      <c r="S90" s="576">
        <f t="shared" ref="S90" si="89">SUM(S91:S94)</f>
        <v>0</v>
      </c>
      <c r="T90" s="575">
        <f t="shared" ref="T90" si="90">SUM(T91:T94)</f>
        <v>0</v>
      </c>
      <c r="U90" s="576">
        <f t="shared" ref="U90" si="91">SUM(U91:U94)</f>
        <v>0</v>
      </c>
      <c r="V90" s="575">
        <f t="shared" ref="V90" si="92">SUM(V91:V94)</f>
        <v>0</v>
      </c>
      <c r="W90" s="576">
        <f t="shared" ref="W90" si="93">SUM(W91:W94)</f>
        <v>0</v>
      </c>
      <c r="X90" s="575">
        <f t="shared" ref="X90" si="94">SUM(X91:X94)</f>
        <v>0</v>
      </c>
      <c r="Y90" s="576">
        <f t="shared" ref="Y90" si="95">SUM(Y91:Y94)</f>
        <v>0</v>
      </c>
      <c r="Z90" s="575">
        <f t="shared" ref="Z90" si="96">SUM(Z91:Z94)</f>
        <v>0</v>
      </c>
      <c r="AA90" s="576">
        <f t="shared" ref="AA90" si="97">SUM(AA91:AA94)</f>
        <v>0</v>
      </c>
      <c r="AB90" s="575">
        <f t="shared" ref="AB90" si="98">SUM(AB91:AB94)</f>
        <v>0</v>
      </c>
      <c r="AC90" s="576">
        <f t="shared" ref="AC90" si="99">SUM(AC91:AC94)</f>
        <v>0</v>
      </c>
      <c r="AD90" s="575">
        <f t="shared" ref="AD90" si="100">SUM(AD91:AD94)</f>
        <v>0</v>
      </c>
      <c r="AE90" s="576">
        <f t="shared" ref="AE90" si="101">SUM(AE91:AE94)</f>
        <v>0</v>
      </c>
      <c r="AF90" s="575">
        <f t="shared" ref="AF90" si="102">SUM(AF91:AF94)</f>
        <v>0</v>
      </c>
      <c r="AG90" s="576">
        <f t="shared" ref="AG90" si="103">SUM(AG91:AG94)</f>
        <v>0</v>
      </c>
    </row>
    <row r="91" spans="1:33" x14ac:dyDescent="0.15">
      <c r="A91" s="561"/>
      <c r="B91" s="569"/>
      <c r="C91" s="580" t="s">
        <v>479</v>
      </c>
      <c r="D91" s="582"/>
      <c r="E91" s="583"/>
      <c r="H91" s="582"/>
      <c r="I91" s="583"/>
      <c r="L91" s="582"/>
      <c r="M91" s="583"/>
      <c r="P91" s="582"/>
      <c r="Q91" s="583"/>
      <c r="T91" s="582"/>
      <c r="U91" s="583"/>
      <c r="X91" s="582"/>
      <c r="Y91" s="583"/>
      <c r="AB91" s="582"/>
      <c r="AC91" s="583"/>
      <c r="AF91" s="582"/>
      <c r="AG91" s="583"/>
    </row>
    <row r="92" spans="1:33" x14ac:dyDescent="0.15">
      <c r="A92" s="561"/>
      <c r="B92" s="569"/>
      <c r="C92" s="580" t="s">
        <v>480</v>
      </c>
      <c r="D92" s="582"/>
      <c r="E92" s="583"/>
      <c r="H92" s="582"/>
      <c r="I92" s="583"/>
      <c r="L92" s="582"/>
      <c r="M92" s="583"/>
      <c r="P92" s="582"/>
      <c r="Q92" s="583"/>
      <c r="T92" s="582"/>
      <c r="U92" s="583"/>
      <c r="X92" s="582"/>
      <c r="Y92" s="583"/>
      <c r="AB92" s="582"/>
      <c r="AC92" s="583"/>
      <c r="AF92" s="582"/>
      <c r="AG92" s="583"/>
    </row>
    <row r="93" spans="1:33" x14ac:dyDescent="0.15">
      <c r="A93" s="561"/>
      <c r="B93" s="569"/>
      <c r="C93" s="580" t="s">
        <v>481</v>
      </c>
      <c r="D93" s="582"/>
      <c r="E93" s="583"/>
      <c r="H93" s="582"/>
      <c r="I93" s="583"/>
      <c r="L93" s="582"/>
      <c r="M93" s="583"/>
      <c r="P93" s="582"/>
      <c r="Q93" s="583"/>
      <c r="T93" s="582"/>
      <c r="U93" s="583"/>
      <c r="X93" s="582"/>
      <c r="Y93" s="583"/>
      <c r="AB93" s="582"/>
      <c r="AC93" s="583"/>
      <c r="AF93" s="582"/>
      <c r="AG93" s="583"/>
    </row>
    <row r="94" spans="1:33" ht="15" thickBot="1" x14ac:dyDescent="0.2">
      <c r="A94" s="561"/>
      <c r="B94" s="569"/>
      <c r="C94" s="580" t="s">
        <v>482</v>
      </c>
      <c r="D94" s="582"/>
      <c r="E94" s="583"/>
      <c r="H94" s="582"/>
      <c r="I94" s="583"/>
      <c r="L94" s="582"/>
      <c r="M94" s="583"/>
      <c r="P94" s="582"/>
      <c r="Q94" s="583"/>
      <c r="T94" s="582"/>
      <c r="U94" s="583"/>
      <c r="X94" s="582"/>
      <c r="Y94" s="583"/>
      <c r="AB94" s="582"/>
      <c r="AC94" s="583"/>
      <c r="AF94" s="582"/>
      <c r="AG94" s="583"/>
    </row>
    <row r="95" spans="1:33" ht="15" x14ac:dyDescent="0.15">
      <c r="A95" s="564" t="s">
        <v>446</v>
      </c>
      <c r="B95" s="571" t="s">
        <v>31</v>
      </c>
      <c r="C95" s="584" t="s">
        <v>483</v>
      </c>
      <c r="D95" s="575">
        <f>SUM(D96:D99)</f>
        <v>0</v>
      </c>
      <c r="E95" s="576">
        <f>SUM(E96:E99)</f>
        <v>0</v>
      </c>
      <c r="F95" s="575">
        <f t="shared" ref="F95" si="104">SUM(F96:F99)</f>
        <v>0</v>
      </c>
      <c r="G95" s="576">
        <f t="shared" ref="G95" si="105">SUM(G96:G99)</f>
        <v>0</v>
      </c>
      <c r="H95" s="575">
        <f t="shared" ref="H95" si="106">SUM(H96:H99)</f>
        <v>0</v>
      </c>
      <c r="I95" s="576">
        <f t="shared" ref="I95" si="107">SUM(I96:I99)</f>
        <v>0</v>
      </c>
      <c r="J95" s="575">
        <f t="shared" ref="J95" si="108">SUM(J96:J99)</f>
        <v>0</v>
      </c>
      <c r="K95" s="576">
        <f t="shared" ref="K95" si="109">SUM(K96:K99)</f>
        <v>0</v>
      </c>
      <c r="L95" s="575">
        <f t="shared" ref="L95" si="110">SUM(L96:L99)</f>
        <v>0</v>
      </c>
      <c r="M95" s="576">
        <f t="shared" ref="M95" si="111">SUM(M96:M99)</f>
        <v>0</v>
      </c>
      <c r="N95" s="575">
        <f t="shared" ref="N95" si="112">SUM(N96:N99)</f>
        <v>0</v>
      </c>
      <c r="O95" s="576">
        <f t="shared" ref="O95" si="113">SUM(O96:O99)</f>
        <v>0</v>
      </c>
      <c r="P95" s="575">
        <f t="shared" ref="P95" si="114">SUM(P96:P99)</f>
        <v>0</v>
      </c>
      <c r="Q95" s="576">
        <f t="shared" ref="Q95" si="115">SUM(Q96:Q99)</f>
        <v>0</v>
      </c>
      <c r="R95" s="575">
        <f t="shared" ref="R95" si="116">SUM(R96:R99)</f>
        <v>0</v>
      </c>
      <c r="S95" s="576">
        <f t="shared" ref="S95" si="117">SUM(S96:S99)</f>
        <v>0</v>
      </c>
      <c r="T95" s="575">
        <f t="shared" ref="T95" si="118">SUM(T96:T99)</f>
        <v>0</v>
      </c>
      <c r="U95" s="576">
        <f t="shared" ref="U95" si="119">SUM(U96:U99)</f>
        <v>0</v>
      </c>
      <c r="V95" s="575">
        <f t="shared" ref="V95" si="120">SUM(V96:V99)</f>
        <v>0</v>
      </c>
      <c r="W95" s="576">
        <f t="shared" ref="W95" si="121">SUM(W96:W99)</f>
        <v>0</v>
      </c>
      <c r="X95" s="575">
        <f t="shared" ref="X95" si="122">SUM(X96:X99)</f>
        <v>0</v>
      </c>
      <c r="Y95" s="576">
        <f t="shared" ref="Y95" si="123">SUM(Y96:Y99)</f>
        <v>0</v>
      </c>
      <c r="Z95" s="575">
        <f t="shared" ref="Z95" si="124">SUM(Z96:Z99)</f>
        <v>0</v>
      </c>
      <c r="AA95" s="576">
        <f t="shared" ref="AA95" si="125">SUM(AA96:AA99)</f>
        <v>0</v>
      </c>
      <c r="AB95" s="575">
        <f t="shared" ref="AB95" si="126">SUM(AB96:AB99)</f>
        <v>0</v>
      </c>
      <c r="AC95" s="576">
        <f t="shared" ref="AC95" si="127">SUM(AC96:AC99)</f>
        <v>0</v>
      </c>
      <c r="AD95" s="575">
        <f t="shared" ref="AD95" si="128">SUM(AD96:AD99)</f>
        <v>0</v>
      </c>
      <c r="AE95" s="576">
        <f t="shared" ref="AE95" si="129">SUM(AE96:AE99)</f>
        <v>0</v>
      </c>
      <c r="AF95" s="575">
        <f t="shared" ref="AF95" si="130">SUM(AF96:AF99)</f>
        <v>0</v>
      </c>
      <c r="AG95" s="576">
        <f t="shared" ref="AG95" si="131">SUM(AG96:AG99)</f>
        <v>0</v>
      </c>
    </row>
    <row r="96" spans="1:33" x14ac:dyDescent="0.15">
      <c r="A96" s="561"/>
      <c r="B96" s="569"/>
      <c r="C96" s="580" t="s">
        <v>484</v>
      </c>
      <c r="D96" s="582"/>
      <c r="E96" s="583"/>
      <c r="H96" s="582"/>
      <c r="I96" s="583"/>
      <c r="L96" s="582"/>
      <c r="M96" s="583"/>
      <c r="P96" s="582"/>
      <c r="Q96" s="583"/>
      <c r="T96" s="582"/>
      <c r="U96" s="583"/>
      <c r="X96" s="582"/>
      <c r="Y96" s="583"/>
      <c r="AB96" s="582"/>
      <c r="AC96" s="583"/>
      <c r="AF96" s="582"/>
      <c r="AG96" s="583"/>
    </row>
    <row r="97" spans="1:33" x14ac:dyDescent="0.15">
      <c r="A97" s="561"/>
      <c r="B97" s="569"/>
      <c r="C97" s="580" t="s">
        <v>485</v>
      </c>
      <c r="D97" s="582"/>
      <c r="E97" s="583"/>
      <c r="H97" s="582"/>
      <c r="I97" s="583"/>
      <c r="L97" s="582"/>
      <c r="M97" s="583"/>
      <c r="P97" s="582"/>
      <c r="Q97" s="583"/>
      <c r="T97" s="582"/>
      <c r="U97" s="583"/>
      <c r="X97" s="582"/>
      <c r="Y97" s="583"/>
      <c r="AB97" s="582"/>
      <c r="AC97" s="583"/>
      <c r="AF97" s="582"/>
      <c r="AG97" s="583"/>
    </row>
    <row r="98" spans="1:33" x14ac:dyDescent="0.15">
      <c r="A98" s="561"/>
      <c r="B98" s="569"/>
      <c r="C98" s="580" t="s">
        <v>486</v>
      </c>
      <c r="D98" s="582"/>
      <c r="E98" s="583"/>
      <c r="H98" s="582"/>
      <c r="I98" s="583"/>
      <c r="L98" s="582"/>
      <c r="M98" s="583"/>
      <c r="P98" s="582"/>
      <c r="Q98" s="583"/>
      <c r="T98" s="582"/>
      <c r="U98" s="583"/>
      <c r="X98" s="582"/>
      <c r="Y98" s="583"/>
      <c r="AB98" s="582"/>
      <c r="AC98" s="583"/>
      <c r="AF98" s="582"/>
      <c r="AG98" s="583"/>
    </row>
    <row r="99" spans="1:33" ht="15" thickBot="1" x14ac:dyDescent="0.2">
      <c r="A99" s="561"/>
      <c r="B99" s="569"/>
      <c r="C99" s="580" t="s">
        <v>487</v>
      </c>
      <c r="D99" s="585"/>
      <c r="E99" s="586"/>
      <c r="H99" s="585"/>
      <c r="I99" s="586"/>
      <c r="L99" s="585"/>
      <c r="M99" s="586"/>
      <c r="P99" s="585"/>
      <c r="Q99" s="586"/>
      <c r="T99" s="585"/>
      <c r="U99" s="586"/>
      <c r="X99" s="585"/>
      <c r="Y99" s="586"/>
      <c r="AB99" s="585"/>
      <c r="AC99" s="586"/>
      <c r="AF99" s="585"/>
      <c r="AG99" s="586"/>
    </row>
    <row r="100" spans="1:33" x14ac:dyDescent="0.15">
      <c r="A100" s="573" t="s">
        <v>8</v>
      </c>
      <c r="B100" s="574" t="s">
        <v>31</v>
      </c>
      <c r="C100" s="572" t="s">
        <v>300</v>
      </c>
      <c r="D100" s="575">
        <f t="shared" ref="D100:H100" si="132">SUM(D101:D135)</f>
        <v>30103.5</v>
      </c>
      <c r="E100" s="576">
        <f t="shared" si="132"/>
        <v>30103.5</v>
      </c>
      <c r="F100" s="575">
        <f t="shared" si="132"/>
        <v>31156</v>
      </c>
      <c r="G100" s="576">
        <f t="shared" si="132"/>
        <v>31452</v>
      </c>
      <c r="H100" s="575">
        <f t="shared" si="132"/>
        <v>32844</v>
      </c>
      <c r="I100" s="576">
        <f>SUM(I101:I135)</f>
        <v>32237</v>
      </c>
      <c r="J100" s="575">
        <f t="shared" ref="J100:AG100" si="133">SUM(J101:J135)</f>
        <v>28317</v>
      </c>
      <c r="K100" s="576">
        <f t="shared" si="133"/>
        <v>29458</v>
      </c>
      <c r="L100" s="575">
        <f t="shared" si="133"/>
        <v>32951</v>
      </c>
      <c r="M100" s="576">
        <f t="shared" si="133"/>
        <v>30710.69</v>
      </c>
      <c r="N100" s="575">
        <f t="shared" si="133"/>
        <v>27945</v>
      </c>
      <c r="O100" s="576">
        <f t="shared" si="133"/>
        <v>20465</v>
      </c>
      <c r="P100" s="575">
        <f t="shared" si="133"/>
        <v>40249.040000000001</v>
      </c>
      <c r="Q100" s="576">
        <f t="shared" si="133"/>
        <v>0</v>
      </c>
      <c r="R100" s="575">
        <f t="shared" si="133"/>
        <v>36548.855000000003</v>
      </c>
      <c r="S100" s="576">
        <f t="shared" si="133"/>
        <v>37903.72</v>
      </c>
      <c r="T100" s="575">
        <f t="shared" si="133"/>
        <v>40817.86</v>
      </c>
      <c r="U100" s="576">
        <f t="shared" si="133"/>
        <v>41705.019999999997</v>
      </c>
      <c r="V100" s="575">
        <f t="shared" si="133"/>
        <v>0</v>
      </c>
      <c r="W100" s="576">
        <f t="shared" si="133"/>
        <v>0</v>
      </c>
      <c r="X100" s="575">
        <f t="shared" si="133"/>
        <v>0</v>
      </c>
      <c r="Y100" s="576">
        <f t="shared" si="133"/>
        <v>0</v>
      </c>
      <c r="Z100" s="575">
        <f t="shared" si="133"/>
        <v>0</v>
      </c>
      <c r="AA100" s="576">
        <f t="shared" si="133"/>
        <v>0</v>
      </c>
      <c r="AB100" s="575">
        <f t="shared" si="133"/>
        <v>0</v>
      </c>
      <c r="AC100" s="576">
        <f t="shared" si="133"/>
        <v>0</v>
      </c>
      <c r="AD100" s="575">
        <f t="shared" si="133"/>
        <v>0</v>
      </c>
      <c r="AE100" s="576">
        <f t="shared" si="133"/>
        <v>0</v>
      </c>
      <c r="AF100" s="575">
        <f t="shared" si="133"/>
        <v>0</v>
      </c>
      <c r="AG100" s="576">
        <f t="shared" si="133"/>
        <v>0</v>
      </c>
    </row>
    <row r="101" spans="1:33" x14ac:dyDescent="0.15">
      <c r="A101" s="758" t="s">
        <v>143</v>
      </c>
      <c r="B101" s="758"/>
      <c r="C101" s="10" t="s">
        <v>355</v>
      </c>
      <c r="D101" s="650"/>
      <c r="E101" s="651"/>
      <c r="F101" s="650"/>
      <c r="G101" s="651"/>
      <c r="H101" s="650"/>
      <c r="I101" s="651"/>
      <c r="J101" s="650"/>
      <c r="K101" s="651"/>
      <c r="L101" s="650"/>
      <c r="M101" s="651"/>
      <c r="N101" s="650"/>
      <c r="O101" s="651"/>
      <c r="P101" s="650"/>
      <c r="Q101" s="651"/>
      <c r="R101" s="650"/>
      <c r="S101" s="651"/>
      <c r="T101" s="650"/>
      <c r="U101" s="651"/>
      <c r="V101" s="593"/>
      <c r="W101" s="594"/>
      <c r="X101" s="593"/>
      <c r="Y101" s="594"/>
      <c r="Z101" s="593"/>
      <c r="AA101" s="594"/>
      <c r="AB101" s="593"/>
      <c r="AC101" s="594"/>
      <c r="AD101" s="593"/>
      <c r="AE101" s="594"/>
      <c r="AF101" s="593"/>
      <c r="AG101" s="594"/>
    </row>
    <row r="102" spans="1:33" x14ac:dyDescent="0.15">
      <c r="A102" s="758" t="s">
        <v>144</v>
      </c>
      <c r="B102" s="758"/>
      <c r="C102" s="10" t="s">
        <v>356</v>
      </c>
      <c r="D102" s="650"/>
      <c r="E102" s="651"/>
      <c r="F102" s="650"/>
      <c r="G102" s="651"/>
      <c r="H102" s="650"/>
      <c r="I102" s="651"/>
      <c r="J102" s="650"/>
      <c r="K102" s="651"/>
      <c r="L102" s="650"/>
      <c r="M102" s="651"/>
      <c r="N102" s="650"/>
      <c r="O102" s="651"/>
      <c r="P102" s="650"/>
      <c r="Q102" s="651"/>
      <c r="R102" s="650"/>
      <c r="S102" s="651"/>
      <c r="T102" s="650"/>
      <c r="U102" s="651"/>
      <c r="V102" s="593"/>
      <c r="W102" s="594"/>
      <c r="X102" s="593"/>
      <c r="Y102" s="594"/>
      <c r="Z102" s="593"/>
      <c r="AA102" s="594"/>
      <c r="AB102" s="593"/>
      <c r="AC102" s="594"/>
      <c r="AD102" s="593"/>
      <c r="AE102" s="594"/>
      <c r="AF102" s="593"/>
      <c r="AG102" s="594"/>
    </row>
    <row r="103" spans="1:33" x14ac:dyDescent="0.15">
      <c r="A103" s="758" t="s">
        <v>145</v>
      </c>
      <c r="B103" s="758"/>
      <c r="C103" s="10" t="s">
        <v>357</v>
      </c>
      <c r="D103" s="650">
        <v>290</v>
      </c>
      <c r="E103" s="651">
        <v>290</v>
      </c>
      <c r="F103" s="650">
        <v>219</v>
      </c>
      <c r="G103" s="651">
        <v>291</v>
      </c>
      <c r="H103" s="650">
        <v>244</v>
      </c>
      <c r="I103" s="651">
        <v>574</v>
      </c>
      <c r="J103" s="650">
        <v>454</v>
      </c>
      <c r="K103" s="651">
        <v>304</v>
      </c>
      <c r="L103" s="650">
        <v>377</v>
      </c>
      <c r="M103" s="651">
        <v>483.56</v>
      </c>
      <c r="N103" s="650">
        <v>511</v>
      </c>
      <c r="O103" s="651">
        <v>190</v>
      </c>
      <c r="P103" s="650">
        <v>57.64</v>
      </c>
      <c r="Q103" s="651"/>
      <c r="R103" s="650">
        <v>79.66</v>
      </c>
      <c r="S103" s="651">
        <v>90.92</v>
      </c>
      <c r="T103" s="650">
        <v>77.959999999999994</v>
      </c>
      <c r="U103" s="651">
        <v>120.23</v>
      </c>
      <c r="V103" s="593"/>
      <c r="W103" s="594"/>
      <c r="X103" s="593"/>
      <c r="Y103" s="594"/>
      <c r="Z103" s="593"/>
      <c r="AA103" s="594"/>
      <c r="AB103" s="593"/>
      <c r="AC103" s="594"/>
      <c r="AD103" s="593"/>
      <c r="AE103" s="594"/>
      <c r="AF103" s="593"/>
      <c r="AG103" s="594"/>
    </row>
    <row r="104" spans="1:33" x14ac:dyDescent="0.15">
      <c r="A104" s="758" t="s">
        <v>188</v>
      </c>
      <c r="B104" s="758"/>
      <c r="C104" s="10" t="s">
        <v>358</v>
      </c>
      <c r="D104" s="650"/>
      <c r="E104" s="651"/>
      <c r="F104" s="650"/>
      <c r="G104" s="651"/>
      <c r="H104" s="650"/>
      <c r="I104" s="651"/>
      <c r="J104" s="650"/>
      <c r="K104" s="651"/>
      <c r="L104" s="650"/>
      <c r="M104" s="651"/>
      <c r="N104" s="650"/>
      <c r="O104" s="651"/>
      <c r="P104" s="650"/>
      <c r="Q104" s="651"/>
      <c r="R104" s="650"/>
      <c r="S104" s="651"/>
      <c r="T104" s="650"/>
      <c r="U104" s="651"/>
      <c r="V104" s="593"/>
      <c r="W104" s="594"/>
      <c r="X104" s="593"/>
      <c r="Y104" s="594"/>
      <c r="Z104" s="593"/>
      <c r="AA104" s="594"/>
      <c r="AB104" s="593"/>
      <c r="AC104" s="594"/>
      <c r="AD104" s="593"/>
      <c r="AE104" s="594"/>
      <c r="AF104" s="593"/>
      <c r="AG104" s="594"/>
    </row>
    <row r="105" spans="1:33" x14ac:dyDescent="0.15">
      <c r="A105" s="758" t="s">
        <v>146</v>
      </c>
      <c r="B105" s="758"/>
      <c r="C105" s="10" t="s">
        <v>359</v>
      </c>
      <c r="D105" s="650"/>
      <c r="E105" s="651"/>
      <c r="F105" s="650"/>
      <c r="G105" s="651"/>
      <c r="H105" s="650"/>
      <c r="I105" s="651"/>
      <c r="J105" s="650"/>
      <c r="K105" s="651"/>
      <c r="L105" s="650"/>
      <c r="M105" s="651"/>
      <c r="N105" s="650"/>
      <c r="O105" s="651"/>
      <c r="P105" s="650"/>
      <c r="Q105" s="651"/>
      <c r="R105" s="650"/>
      <c r="S105" s="651"/>
      <c r="T105" s="650"/>
      <c r="U105" s="651"/>
      <c r="V105" s="593"/>
      <c r="W105" s="594"/>
      <c r="X105" s="593"/>
      <c r="Y105" s="594"/>
      <c r="Z105" s="593"/>
      <c r="AA105" s="594"/>
      <c r="AB105" s="593"/>
      <c r="AC105" s="594"/>
      <c r="AD105" s="593"/>
      <c r="AE105" s="594"/>
      <c r="AF105" s="593"/>
      <c r="AG105" s="594"/>
    </row>
    <row r="106" spans="1:33" x14ac:dyDescent="0.15">
      <c r="A106" s="758" t="s">
        <v>147</v>
      </c>
      <c r="B106" s="758"/>
      <c r="C106" s="10" t="s">
        <v>360</v>
      </c>
      <c r="D106" s="650"/>
      <c r="E106" s="651"/>
      <c r="F106" s="650"/>
      <c r="G106" s="651"/>
      <c r="H106" s="650"/>
      <c r="I106" s="651"/>
      <c r="J106" s="650"/>
      <c r="K106" s="651"/>
      <c r="L106" s="650"/>
      <c r="M106" s="651"/>
      <c r="N106" s="650"/>
      <c r="O106" s="651"/>
      <c r="P106" s="650"/>
      <c r="Q106" s="651"/>
      <c r="R106" s="650"/>
      <c r="S106" s="651"/>
      <c r="T106" s="650"/>
      <c r="U106" s="651"/>
      <c r="V106" s="593"/>
      <c r="W106" s="594"/>
      <c r="X106" s="593"/>
      <c r="Y106" s="594"/>
      <c r="Z106" s="593"/>
      <c r="AA106" s="594"/>
      <c r="AB106" s="593"/>
      <c r="AC106" s="594"/>
      <c r="AD106" s="593"/>
      <c r="AE106" s="594"/>
      <c r="AF106" s="593"/>
      <c r="AG106" s="594"/>
    </row>
    <row r="107" spans="1:33" x14ac:dyDescent="0.15">
      <c r="A107" s="758" t="s">
        <v>148</v>
      </c>
      <c r="B107" s="758"/>
      <c r="C107" s="10" t="s">
        <v>361</v>
      </c>
      <c r="D107" s="650"/>
      <c r="E107" s="651"/>
      <c r="F107" s="650"/>
      <c r="G107" s="651"/>
      <c r="H107" s="650"/>
      <c r="I107" s="651"/>
      <c r="J107" s="650"/>
      <c r="K107" s="651"/>
      <c r="L107" s="650"/>
      <c r="M107" s="651"/>
      <c r="N107" s="650"/>
      <c r="O107" s="651"/>
      <c r="P107" s="650"/>
      <c r="Q107" s="651"/>
      <c r="R107" s="650"/>
      <c r="S107" s="651"/>
      <c r="T107" s="650"/>
      <c r="U107" s="651"/>
      <c r="V107" s="593"/>
      <c r="W107" s="594"/>
      <c r="X107" s="593"/>
      <c r="Y107" s="594"/>
      <c r="Z107" s="593"/>
      <c r="AA107" s="594"/>
      <c r="AB107" s="593"/>
      <c r="AC107" s="594"/>
      <c r="AD107" s="593"/>
      <c r="AE107" s="594"/>
      <c r="AF107" s="593"/>
      <c r="AG107" s="594"/>
    </row>
    <row r="108" spans="1:33" x14ac:dyDescent="0.15">
      <c r="A108" s="758" t="s">
        <v>149</v>
      </c>
      <c r="B108" s="758"/>
      <c r="C108" s="10" t="s">
        <v>362</v>
      </c>
      <c r="D108" s="650"/>
      <c r="E108" s="651"/>
      <c r="F108" s="650"/>
      <c r="G108" s="651"/>
      <c r="H108" s="650"/>
      <c r="I108" s="651"/>
      <c r="J108" s="650"/>
      <c r="K108" s="651"/>
      <c r="L108" s="650"/>
      <c r="M108" s="651"/>
      <c r="N108" s="650"/>
      <c r="O108" s="651"/>
      <c r="P108" s="650"/>
      <c r="Q108" s="651"/>
      <c r="R108" s="650"/>
      <c r="S108" s="651"/>
      <c r="T108" s="650"/>
      <c r="U108" s="651"/>
      <c r="V108" s="593"/>
      <c r="W108" s="594"/>
      <c r="X108" s="593"/>
      <c r="Y108" s="594"/>
      <c r="Z108" s="593"/>
      <c r="AA108" s="594"/>
      <c r="AB108" s="593"/>
      <c r="AC108" s="594"/>
      <c r="AD108" s="593"/>
      <c r="AE108" s="594"/>
      <c r="AF108" s="593"/>
      <c r="AG108" s="594"/>
    </row>
    <row r="109" spans="1:33" x14ac:dyDescent="0.15">
      <c r="A109" s="758" t="s">
        <v>150</v>
      </c>
      <c r="B109" s="758"/>
      <c r="C109" s="10" t="s">
        <v>363</v>
      </c>
      <c r="D109" s="650">
        <v>2698.5</v>
      </c>
      <c r="E109" s="651">
        <v>2698.5</v>
      </c>
      <c r="F109" s="652">
        <v>2644</v>
      </c>
      <c r="G109" s="651">
        <v>2738</v>
      </c>
      <c r="H109" s="652">
        <v>2945</v>
      </c>
      <c r="I109" s="651">
        <v>2441</v>
      </c>
      <c r="J109" s="650">
        <v>2057</v>
      </c>
      <c r="K109" s="651">
        <v>2230</v>
      </c>
      <c r="L109" s="650">
        <v>2293</v>
      </c>
      <c r="M109" s="651">
        <v>2947.78</v>
      </c>
      <c r="N109" s="650">
        <v>2440</v>
      </c>
      <c r="O109" s="651">
        <v>2564</v>
      </c>
      <c r="P109" s="650">
        <v>3139.78</v>
      </c>
      <c r="Q109" s="651"/>
      <c r="R109" s="650">
        <v>3836.37</v>
      </c>
      <c r="S109" s="651">
        <v>4304.33</v>
      </c>
      <c r="T109" s="650">
        <v>5114.49</v>
      </c>
      <c r="U109" s="651">
        <v>6270.94</v>
      </c>
      <c r="V109" s="593"/>
      <c r="W109" s="594"/>
      <c r="X109" s="593"/>
      <c r="Y109" s="594"/>
      <c r="Z109" s="593"/>
      <c r="AA109" s="594"/>
      <c r="AB109" s="593"/>
      <c r="AC109" s="594"/>
      <c r="AD109" s="593"/>
      <c r="AE109" s="594"/>
      <c r="AF109" s="593"/>
      <c r="AG109" s="594"/>
    </row>
    <row r="110" spans="1:33" x14ac:dyDescent="0.15">
      <c r="A110" s="758" t="s">
        <v>151</v>
      </c>
      <c r="B110" s="758"/>
      <c r="C110" s="10" t="s">
        <v>364</v>
      </c>
      <c r="D110" s="650">
        <v>2323.5</v>
      </c>
      <c r="E110" s="651">
        <v>2323.5</v>
      </c>
      <c r="F110" s="652">
        <v>2504</v>
      </c>
      <c r="G110" s="651">
        <v>2664</v>
      </c>
      <c r="H110" s="652">
        <v>2849</v>
      </c>
      <c r="I110" s="651">
        <v>2803</v>
      </c>
      <c r="J110" s="650">
        <v>1616</v>
      </c>
      <c r="K110" s="651">
        <v>1889</v>
      </c>
      <c r="L110" s="650">
        <v>2134</v>
      </c>
      <c r="M110" s="651">
        <v>2335.42</v>
      </c>
      <c r="N110" s="650">
        <v>2896</v>
      </c>
      <c r="O110" s="651">
        <v>2556</v>
      </c>
      <c r="P110" s="650">
        <v>2902.83</v>
      </c>
      <c r="Q110" s="651"/>
      <c r="R110" s="650">
        <v>3050.9349999999999</v>
      </c>
      <c r="S110" s="651">
        <v>3207.4</v>
      </c>
      <c r="T110" s="650">
        <v>2465.0500000000002</v>
      </c>
      <c r="U110" s="651">
        <v>2755.27</v>
      </c>
      <c r="V110" s="593"/>
      <c r="W110" s="594"/>
      <c r="X110" s="593"/>
      <c r="Y110" s="594"/>
      <c r="Z110" s="593"/>
      <c r="AA110" s="594"/>
      <c r="AB110" s="593"/>
      <c r="AC110" s="594"/>
      <c r="AD110" s="593"/>
      <c r="AE110" s="594"/>
      <c r="AF110" s="593"/>
      <c r="AG110" s="594"/>
    </row>
    <row r="111" spans="1:33" x14ac:dyDescent="0.15">
      <c r="A111" s="758" t="s">
        <v>152</v>
      </c>
      <c r="B111" s="758"/>
      <c r="C111" s="10" t="s">
        <v>275</v>
      </c>
      <c r="D111" s="650">
        <v>7051</v>
      </c>
      <c r="E111" s="651">
        <v>7051</v>
      </c>
      <c r="F111" s="652">
        <v>7380</v>
      </c>
      <c r="G111" s="651">
        <v>5997</v>
      </c>
      <c r="H111" s="652">
        <v>6344</v>
      </c>
      <c r="I111" s="651">
        <v>7090</v>
      </c>
      <c r="J111" s="650">
        <v>6409</v>
      </c>
      <c r="K111" s="651">
        <v>6625</v>
      </c>
      <c r="L111" s="650">
        <v>7121</v>
      </c>
      <c r="M111" s="651">
        <v>7471.24</v>
      </c>
      <c r="N111" s="650">
        <v>6261</v>
      </c>
      <c r="O111" s="651">
        <v>6490</v>
      </c>
      <c r="P111" s="650">
        <v>11304.41</v>
      </c>
      <c r="Q111" s="651"/>
      <c r="R111" s="650">
        <v>12109.05</v>
      </c>
      <c r="S111" s="651">
        <v>12101.74</v>
      </c>
      <c r="T111" s="650">
        <v>12747.83</v>
      </c>
      <c r="U111" s="651">
        <v>13009.31</v>
      </c>
      <c r="V111" s="593"/>
      <c r="W111" s="594"/>
      <c r="X111" s="593"/>
      <c r="Y111" s="594"/>
      <c r="Z111" s="593"/>
      <c r="AA111" s="594"/>
      <c r="AB111" s="593"/>
      <c r="AC111" s="594"/>
      <c r="AD111" s="593"/>
      <c r="AE111" s="594"/>
      <c r="AF111" s="593"/>
      <c r="AG111" s="594"/>
    </row>
    <row r="112" spans="1:33" x14ac:dyDescent="0.15">
      <c r="A112" s="758" t="s">
        <v>153</v>
      </c>
      <c r="B112" s="758"/>
      <c r="C112" s="10" t="s">
        <v>399</v>
      </c>
      <c r="D112" s="650"/>
      <c r="E112" s="651"/>
      <c r="F112" s="652"/>
      <c r="G112" s="651"/>
      <c r="H112" s="652"/>
      <c r="I112" s="651"/>
      <c r="J112" s="650"/>
      <c r="K112" s="651"/>
      <c r="L112" s="650"/>
      <c r="M112" s="651"/>
      <c r="N112" s="650"/>
      <c r="O112" s="651"/>
      <c r="P112" s="650"/>
      <c r="Q112" s="651"/>
      <c r="R112" s="650"/>
      <c r="S112" s="651"/>
      <c r="T112" s="650"/>
      <c r="U112" s="651"/>
      <c r="V112" s="593"/>
      <c r="W112" s="594"/>
      <c r="X112" s="593"/>
      <c r="Y112" s="594"/>
      <c r="Z112" s="593"/>
      <c r="AA112" s="594"/>
      <c r="AB112" s="593"/>
      <c r="AC112" s="594"/>
      <c r="AD112" s="593"/>
      <c r="AE112" s="594"/>
      <c r="AF112" s="593"/>
      <c r="AG112" s="594"/>
    </row>
    <row r="113" spans="1:33" x14ac:dyDescent="0.15">
      <c r="A113" s="758" t="s">
        <v>154</v>
      </c>
      <c r="B113" s="758"/>
      <c r="C113" s="10" t="s">
        <v>365</v>
      </c>
      <c r="D113" s="650">
        <v>162</v>
      </c>
      <c r="E113" s="651">
        <v>162</v>
      </c>
      <c r="F113" s="652">
        <v>222</v>
      </c>
      <c r="G113" s="651">
        <v>195</v>
      </c>
      <c r="H113" s="652">
        <v>224</v>
      </c>
      <c r="I113" s="651">
        <v>204</v>
      </c>
      <c r="J113" s="650">
        <v>106</v>
      </c>
      <c r="K113" s="651">
        <v>76</v>
      </c>
      <c r="L113" s="650">
        <v>99</v>
      </c>
      <c r="M113" s="651">
        <v>80.72</v>
      </c>
      <c r="N113" s="650">
        <v>61</v>
      </c>
      <c r="O113" s="651">
        <v>17</v>
      </c>
      <c r="P113" s="650">
        <v>35.4</v>
      </c>
      <c r="Q113" s="651"/>
      <c r="R113" s="650">
        <v>17.2</v>
      </c>
      <c r="S113" s="651">
        <v>16.16</v>
      </c>
      <c r="T113" s="650">
        <v>21.37</v>
      </c>
      <c r="U113" s="651">
        <v>42.76</v>
      </c>
      <c r="V113" s="593"/>
      <c r="W113" s="594"/>
      <c r="X113" s="593"/>
      <c r="Y113" s="594"/>
      <c r="Z113" s="593"/>
      <c r="AA113" s="594"/>
      <c r="AB113" s="593"/>
      <c r="AC113" s="594"/>
      <c r="AD113" s="593"/>
      <c r="AE113" s="594"/>
      <c r="AF113" s="593"/>
      <c r="AG113" s="594"/>
    </row>
    <row r="114" spans="1:33" x14ac:dyDescent="0.15">
      <c r="A114" s="758" t="s">
        <v>155</v>
      </c>
      <c r="B114" s="758"/>
      <c r="C114" s="10" t="s">
        <v>276</v>
      </c>
      <c r="D114" s="650"/>
      <c r="E114" s="651"/>
      <c r="F114" s="652"/>
      <c r="G114" s="651"/>
      <c r="H114" s="652"/>
      <c r="I114" s="651"/>
      <c r="J114" s="650"/>
      <c r="K114" s="651"/>
      <c r="L114" s="650"/>
      <c r="M114" s="651"/>
      <c r="N114" s="650"/>
      <c r="O114" s="651"/>
      <c r="P114" s="650"/>
      <c r="Q114" s="651"/>
      <c r="R114" s="650"/>
      <c r="S114" s="651"/>
      <c r="T114" s="650"/>
      <c r="U114" s="651"/>
      <c r="V114" s="593"/>
      <c r="W114" s="594"/>
      <c r="X114" s="593"/>
      <c r="Y114" s="594"/>
      <c r="Z114" s="593"/>
      <c r="AA114" s="594"/>
      <c r="AB114" s="593"/>
      <c r="AC114" s="594"/>
      <c r="AD114" s="593"/>
      <c r="AE114" s="594"/>
      <c r="AF114" s="593"/>
      <c r="AG114" s="594"/>
    </row>
    <row r="115" spans="1:33" x14ac:dyDescent="0.15">
      <c r="A115" s="758" t="s">
        <v>156</v>
      </c>
      <c r="B115" s="758"/>
      <c r="C115" s="10" t="s">
        <v>277</v>
      </c>
      <c r="D115" s="650">
        <v>25.5</v>
      </c>
      <c r="E115" s="651">
        <v>25.5</v>
      </c>
      <c r="F115" s="652">
        <v>60</v>
      </c>
      <c r="G115" s="651">
        <v>54</v>
      </c>
      <c r="H115" s="652">
        <v>71</v>
      </c>
      <c r="I115" s="651">
        <v>67</v>
      </c>
      <c r="J115" s="650">
        <v>66</v>
      </c>
      <c r="K115" s="651">
        <v>58</v>
      </c>
      <c r="L115" s="650">
        <v>59</v>
      </c>
      <c r="M115" s="651">
        <v>83.66</v>
      </c>
      <c r="N115" s="650">
        <v>51</v>
      </c>
      <c r="O115" s="651">
        <v>63</v>
      </c>
      <c r="P115" s="650">
        <v>97.22</v>
      </c>
      <c r="Q115" s="651"/>
      <c r="R115" s="650">
        <v>88.43</v>
      </c>
      <c r="S115" s="651">
        <v>101.07</v>
      </c>
      <c r="T115" s="650">
        <v>87.44</v>
      </c>
      <c r="U115" s="651">
        <v>86.01</v>
      </c>
      <c r="V115" s="593"/>
      <c r="W115" s="594"/>
      <c r="X115" s="593"/>
      <c r="Y115" s="594"/>
      <c r="Z115" s="593"/>
      <c r="AA115" s="594"/>
      <c r="AB115" s="593"/>
      <c r="AC115" s="594"/>
      <c r="AD115" s="593"/>
      <c r="AE115" s="594"/>
      <c r="AF115" s="593"/>
      <c r="AG115" s="594"/>
    </row>
    <row r="116" spans="1:33" x14ac:dyDescent="0.15">
      <c r="A116" s="758" t="s">
        <v>157</v>
      </c>
      <c r="B116" s="758"/>
      <c r="C116" s="10" t="s">
        <v>366</v>
      </c>
      <c r="D116" s="650"/>
      <c r="E116" s="651"/>
      <c r="F116" s="652"/>
      <c r="G116" s="651"/>
      <c r="H116" s="652"/>
      <c r="I116" s="651"/>
      <c r="J116" s="650"/>
      <c r="K116" s="651"/>
      <c r="L116" s="650"/>
      <c r="M116" s="651"/>
      <c r="N116" s="650"/>
      <c r="O116" s="651"/>
      <c r="P116" s="650"/>
      <c r="Q116" s="651"/>
      <c r="R116" s="650"/>
      <c r="S116" s="651"/>
      <c r="T116" s="650"/>
      <c r="U116" s="651"/>
      <c r="V116" s="593"/>
      <c r="W116" s="594"/>
      <c r="X116" s="593"/>
      <c r="Y116" s="594"/>
      <c r="Z116" s="593"/>
      <c r="AA116" s="594"/>
      <c r="AB116" s="593"/>
      <c r="AC116" s="594"/>
      <c r="AD116" s="593"/>
      <c r="AE116" s="594"/>
      <c r="AF116" s="593"/>
      <c r="AG116" s="594"/>
    </row>
    <row r="117" spans="1:33" x14ac:dyDescent="0.15">
      <c r="A117" s="758" t="s">
        <v>158</v>
      </c>
      <c r="B117" s="758"/>
      <c r="C117" s="10" t="s">
        <v>278</v>
      </c>
      <c r="D117" s="650">
        <v>63.5</v>
      </c>
      <c r="E117" s="651">
        <v>63.5</v>
      </c>
      <c r="F117" s="652">
        <v>45</v>
      </c>
      <c r="G117" s="651">
        <v>26</v>
      </c>
      <c r="H117" s="652">
        <v>0</v>
      </c>
      <c r="I117" s="651">
        <v>57</v>
      </c>
      <c r="J117" s="650">
        <v>104</v>
      </c>
      <c r="K117" s="651">
        <v>52</v>
      </c>
      <c r="L117" s="650">
        <v>25</v>
      </c>
      <c r="M117" s="651">
        <v>87.32</v>
      </c>
      <c r="N117" s="650">
        <v>130</v>
      </c>
      <c r="O117" s="651">
        <v>76</v>
      </c>
      <c r="P117" s="650">
        <v>226.96</v>
      </c>
      <c r="Q117" s="651"/>
      <c r="R117" s="650">
        <v>157.04</v>
      </c>
      <c r="S117" s="651">
        <v>86.26</v>
      </c>
      <c r="T117" s="650">
        <v>148.69999999999999</v>
      </c>
      <c r="U117" s="651">
        <v>166.02</v>
      </c>
      <c r="V117" s="593"/>
      <c r="W117" s="594"/>
      <c r="X117" s="593"/>
      <c r="Y117" s="594"/>
      <c r="Z117" s="593"/>
      <c r="AA117" s="594"/>
      <c r="AB117" s="593"/>
      <c r="AC117" s="594"/>
      <c r="AD117" s="593"/>
      <c r="AE117" s="594"/>
      <c r="AF117" s="593"/>
      <c r="AG117" s="594"/>
    </row>
    <row r="118" spans="1:33" x14ac:dyDescent="0.15">
      <c r="A118" s="758" t="s">
        <v>159</v>
      </c>
      <c r="B118" s="758"/>
      <c r="C118" s="10" t="s">
        <v>279</v>
      </c>
      <c r="D118" s="650">
        <v>58</v>
      </c>
      <c r="E118" s="651">
        <v>58</v>
      </c>
      <c r="F118" s="652">
        <v>46</v>
      </c>
      <c r="G118" s="651">
        <v>93</v>
      </c>
      <c r="H118" s="652">
        <v>118</v>
      </c>
      <c r="I118" s="651">
        <v>87</v>
      </c>
      <c r="J118" s="650">
        <v>43</v>
      </c>
      <c r="K118" s="651">
        <v>102</v>
      </c>
      <c r="L118" s="650">
        <v>105</v>
      </c>
      <c r="M118" s="651">
        <v>290.8</v>
      </c>
      <c r="N118" s="650">
        <v>116</v>
      </c>
      <c r="O118" s="651">
        <v>125</v>
      </c>
      <c r="P118" s="650">
        <v>157.96</v>
      </c>
      <c r="Q118" s="651"/>
      <c r="R118" s="650">
        <v>137.91999999999999</v>
      </c>
      <c r="S118" s="651">
        <v>208.75</v>
      </c>
      <c r="T118" s="650">
        <v>202.61</v>
      </c>
      <c r="U118" s="651">
        <v>187.85</v>
      </c>
      <c r="V118" s="593"/>
      <c r="W118" s="594"/>
      <c r="X118" s="593"/>
      <c r="Y118" s="594"/>
      <c r="Z118" s="593"/>
      <c r="AA118" s="594"/>
      <c r="AB118" s="593"/>
      <c r="AC118" s="594"/>
      <c r="AD118" s="593"/>
      <c r="AE118" s="594"/>
      <c r="AF118" s="593"/>
      <c r="AG118" s="594"/>
    </row>
    <row r="119" spans="1:33" x14ac:dyDescent="0.15">
      <c r="A119" s="758" t="s">
        <v>160</v>
      </c>
      <c r="B119" s="758"/>
      <c r="C119" s="10" t="s">
        <v>367</v>
      </c>
      <c r="D119" s="650">
        <v>1121</v>
      </c>
      <c r="E119" s="651">
        <v>1121</v>
      </c>
      <c r="F119" s="652">
        <v>846</v>
      </c>
      <c r="G119" s="651">
        <v>797</v>
      </c>
      <c r="H119" s="652">
        <v>830</v>
      </c>
      <c r="I119" s="651">
        <v>845</v>
      </c>
      <c r="J119" s="650">
        <v>1204</v>
      </c>
      <c r="K119" s="651">
        <v>1103</v>
      </c>
      <c r="L119" s="650">
        <v>1532</v>
      </c>
      <c r="M119" s="651">
        <v>1446.72</v>
      </c>
      <c r="N119" s="650">
        <v>847</v>
      </c>
      <c r="O119" s="651">
        <v>1057</v>
      </c>
      <c r="P119" s="650">
        <v>1583.18</v>
      </c>
      <c r="Q119" s="651"/>
      <c r="R119" s="650">
        <v>1571.04</v>
      </c>
      <c r="S119" s="651">
        <v>1410.04</v>
      </c>
      <c r="T119" s="650">
        <v>2241.67</v>
      </c>
      <c r="U119" s="651">
        <v>1918.9</v>
      </c>
      <c r="V119" s="593"/>
      <c r="W119" s="594"/>
      <c r="X119" s="593"/>
      <c r="Y119" s="594"/>
      <c r="Z119" s="593"/>
      <c r="AA119" s="594"/>
      <c r="AB119" s="593"/>
      <c r="AC119" s="594"/>
      <c r="AD119" s="593"/>
      <c r="AE119" s="594"/>
      <c r="AF119" s="593"/>
      <c r="AG119" s="594"/>
    </row>
    <row r="120" spans="1:33" x14ac:dyDescent="0.15">
      <c r="A120" s="758" t="s">
        <v>161</v>
      </c>
      <c r="B120" s="758"/>
      <c r="C120" s="10" t="s">
        <v>280</v>
      </c>
      <c r="D120" s="650"/>
      <c r="E120" s="651"/>
      <c r="F120" s="652"/>
      <c r="G120" s="651"/>
      <c r="H120" s="652"/>
      <c r="I120" s="651"/>
      <c r="J120" s="650"/>
      <c r="K120" s="651"/>
      <c r="L120" s="650"/>
      <c r="M120" s="651"/>
      <c r="N120" s="650"/>
      <c r="O120" s="651"/>
      <c r="P120" s="650"/>
      <c r="Q120" s="651"/>
      <c r="R120" s="650"/>
      <c r="S120" s="651"/>
      <c r="T120" s="650"/>
      <c r="U120" s="651"/>
      <c r="V120" s="593"/>
      <c r="W120" s="594"/>
      <c r="X120" s="593"/>
      <c r="Y120" s="594"/>
      <c r="Z120" s="593"/>
      <c r="AA120" s="594"/>
      <c r="AB120" s="593"/>
      <c r="AC120" s="594"/>
      <c r="AD120" s="593"/>
      <c r="AE120" s="594"/>
      <c r="AF120" s="593"/>
      <c r="AG120" s="594"/>
    </row>
    <row r="121" spans="1:33" x14ac:dyDescent="0.15">
      <c r="A121" s="758" t="s">
        <v>162</v>
      </c>
      <c r="B121" s="758"/>
      <c r="C121" s="10" t="s">
        <v>368</v>
      </c>
      <c r="D121" s="650"/>
      <c r="E121" s="651"/>
      <c r="F121" s="652"/>
      <c r="G121" s="651"/>
      <c r="H121" s="652"/>
      <c r="I121" s="651"/>
      <c r="J121" s="650"/>
      <c r="K121" s="651"/>
      <c r="L121" s="650"/>
      <c r="M121" s="651"/>
      <c r="N121" s="650"/>
      <c r="O121" s="651"/>
      <c r="P121" s="650"/>
      <c r="Q121" s="651"/>
      <c r="R121" s="650"/>
      <c r="S121" s="651"/>
      <c r="T121" s="650"/>
      <c r="U121" s="651"/>
      <c r="V121" s="593"/>
      <c r="W121" s="594"/>
      <c r="X121" s="593"/>
      <c r="Y121" s="594"/>
      <c r="Z121" s="593"/>
      <c r="AA121" s="594"/>
      <c r="AB121" s="593"/>
      <c r="AC121" s="594"/>
      <c r="AD121" s="593"/>
      <c r="AE121" s="594"/>
      <c r="AF121" s="593"/>
      <c r="AG121" s="594"/>
    </row>
    <row r="122" spans="1:33" x14ac:dyDescent="0.15">
      <c r="A122" s="758" t="s">
        <v>163</v>
      </c>
      <c r="B122" s="758"/>
      <c r="C122" s="10" t="s">
        <v>369</v>
      </c>
      <c r="D122" s="650">
        <v>245.5</v>
      </c>
      <c r="E122" s="651">
        <v>245.5</v>
      </c>
      <c r="F122" s="652">
        <v>88</v>
      </c>
      <c r="G122" s="651">
        <v>142</v>
      </c>
      <c r="H122" s="652">
        <v>107</v>
      </c>
      <c r="I122" s="651">
        <v>57</v>
      </c>
      <c r="J122" s="650">
        <v>12</v>
      </c>
      <c r="K122" s="651">
        <v>81</v>
      </c>
      <c r="L122" s="650">
        <v>116</v>
      </c>
      <c r="M122" s="651">
        <v>115.12</v>
      </c>
      <c r="N122" s="650">
        <v>148</v>
      </c>
      <c r="O122" s="651">
        <v>123</v>
      </c>
      <c r="P122" s="650">
        <v>38.61</v>
      </c>
      <c r="Q122" s="651"/>
      <c r="R122" s="650">
        <v>54.97</v>
      </c>
      <c r="S122" s="651">
        <v>57.66</v>
      </c>
      <c r="T122" s="650">
        <v>41.94</v>
      </c>
      <c r="U122" s="651">
        <v>47.28</v>
      </c>
      <c r="V122" s="593"/>
      <c r="W122" s="594"/>
      <c r="X122" s="593"/>
      <c r="Y122" s="594"/>
      <c r="Z122" s="593"/>
      <c r="AA122" s="594"/>
      <c r="AB122" s="593"/>
      <c r="AC122" s="594"/>
      <c r="AD122" s="593"/>
      <c r="AE122" s="594"/>
      <c r="AF122" s="593"/>
      <c r="AG122" s="594"/>
    </row>
    <row r="123" spans="1:33" x14ac:dyDescent="0.15">
      <c r="A123" s="758" t="s">
        <v>189</v>
      </c>
      <c r="B123" s="758"/>
      <c r="C123" s="10" t="s">
        <v>370</v>
      </c>
      <c r="D123" s="650"/>
      <c r="E123" s="651"/>
      <c r="F123" s="652"/>
      <c r="G123" s="651"/>
      <c r="H123" s="652"/>
      <c r="I123" s="651"/>
      <c r="J123" s="650"/>
      <c r="K123" s="651"/>
      <c r="L123" s="650"/>
      <c r="M123" s="651"/>
      <c r="N123" s="650"/>
      <c r="O123" s="651"/>
      <c r="P123" s="650"/>
      <c r="Q123" s="651"/>
      <c r="R123" s="650"/>
      <c r="S123" s="651"/>
      <c r="T123" s="650"/>
      <c r="U123" s="651"/>
      <c r="V123" s="593"/>
      <c r="W123" s="594"/>
      <c r="X123" s="593"/>
      <c r="Y123" s="594"/>
      <c r="Z123" s="593"/>
      <c r="AA123" s="594"/>
      <c r="AB123" s="593"/>
      <c r="AC123" s="594"/>
      <c r="AD123" s="593"/>
      <c r="AE123" s="594"/>
      <c r="AF123" s="593"/>
      <c r="AG123" s="594"/>
    </row>
    <row r="124" spans="1:33" x14ac:dyDescent="0.15">
      <c r="A124" s="758" t="s">
        <v>190</v>
      </c>
      <c r="B124" s="758"/>
      <c r="C124" s="10" t="s">
        <v>371</v>
      </c>
      <c r="D124" s="650"/>
      <c r="E124" s="651"/>
      <c r="F124" s="652"/>
      <c r="G124" s="651"/>
      <c r="H124" s="652"/>
      <c r="I124" s="651"/>
      <c r="J124" s="650"/>
      <c r="K124" s="651"/>
      <c r="L124" s="650"/>
      <c r="M124" s="651"/>
      <c r="N124" s="650"/>
      <c r="O124" s="651"/>
      <c r="P124" s="650"/>
      <c r="Q124" s="651"/>
      <c r="R124" s="650"/>
      <c r="S124" s="651"/>
      <c r="T124" s="650"/>
      <c r="U124" s="651"/>
      <c r="V124" s="593"/>
      <c r="W124" s="594"/>
      <c r="X124" s="593"/>
      <c r="Y124" s="594"/>
      <c r="Z124" s="593"/>
      <c r="AA124" s="594"/>
      <c r="AB124" s="593"/>
      <c r="AC124" s="594"/>
      <c r="AD124" s="593"/>
      <c r="AE124" s="594"/>
      <c r="AF124" s="593"/>
      <c r="AG124" s="594"/>
    </row>
    <row r="125" spans="1:33" x14ac:dyDescent="0.15">
      <c r="A125" s="758" t="s">
        <v>164</v>
      </c>
      <c r="B125" s="758"/>
      <c r="C125" s="10" t="s">
        <v>372</v>
      </c>
      <c r="D125" s="650">
        <v>7</v>
      </c>
      <c r="E125" s="651">
        <v>7</v>
      </c>
      <c r="F125" s="652">
        <v>7</v>
      </c>
      <c r="G125" s="651">
        <v>11</v>
      </c>
      <c r="H125" s="652">
        <v>2</v>
      </c>
      <c r="I125" s="651">
        <v>4</v>
      </c>
      <c r="J125" s="650">
        <v>11</v>
      </c>
      <c r="K125" s="651">
        <v>28</v>
      </c>
      <c r="L125" s="650">
        <v>15</v>
      </c>
      <c r="M125" s="651">
        <v>155.5</v>
      </c>
      <c r="N125" s="650">
        <v>15</v>
      </c>
      <c r="O125" s="651">
        <v>14</v>
      </c>
      <c r="P125" s="650">
        <v>11.98</v>
      </c>
      <c r="Q125" s="651"/>
      <c r="R125" s="650">
        <v>19.63</v>
      </c>
      <c r="S125" s="651">
        <v>15.36</v>
      </c>
      <c r="T125" s="650">
        <v>23</v>
      </c>
      <c r="U125" s="651">
        <v>20.6</v>
      </c>
      <c r="V125" s="593"/>
      <c r="W125" s="594"/>
      <c r="X125" s="593"/>
      <c r="Y125" s="594"/>
      <c r="Z125" s="593"/>
      <c r="AA125" s="594"/>
      <c r="AB125" s="593"/>
      <c r="AC125" s="594"/>
      <c r="AD125" s="593"/>
      <c r="AE125" s="594"/>
      <c r="AF125" s="593"/>
      <c r="AG125" s="594"/>
    </row>
    <row r="126" spans="1:33" x14ac:dyDescent="0.15">
      <c r="A126" s="758" t="s">
        <v>165</v>
      </c>
      <c r="B126" s="758"/>
      <c r="C126" s="10" t="s">
        <v>373</v>
      </c>
      <c r="D126" s="650"/>
      <c r="E126" s="651"/>
      <c r="F126" s="652"/>
      <c r="G126" s="651"/>
      <c r="H126" s="652"/>
      <c r="I126" s="651"/>
      <c r="J126" s="650"/>
      <c r="K126" s="651"/>
      <c r="L126" s="650"/>
      <c r="M126" s="651"/>
      <c r="N126" s="650"/>
      <c r="O126" s="651"/>
      <c r="P126" s="650"/>
      <c r="Q126" s="651"/>
      <c r="R126" s="650"/>
      <c r="S126" s="651"/>
      <c r="T126" s="650"/>
      <c r="U126" s="651"/>
      <c r="V126" s="593"/>
      <c r="W126" s="594"/>
      <c r="X126" s="593"/>
      <c r="Y126" s="594"/>
      <c r="Z126" s="593"/>
      <c r="AA126" s="594"/>
      <c r="AB126" s="593"/>
      <c r="AC126" s="594"/>
      <c r="AD126" s="593"/>
      <c r="AE126" s="594"/>
      <c r="AF126" s="593"/>
      <c r="AG126" s="594"/>
    </row>
    <row r="127" spans="1:33" x14ac:dyDescent="0.15">
      <c r="A127" s="758" t="s">
        <v>166</v>
      </c>
      <c r="B127" s="758"/>
      <c r="C127" s="10" t="s">
        <v>374</v>
      </c>
      <c r="D127" s="650">
        <v>4091.5</v>
      </c>
      <c r="E127" s="651">
        <v>4091.5</v>
      </c>
      <c r="F127" s="652">
        <v>2456</v>
      </c>
      <c r="G127" s="651">
        <v>3836</v>
      </c>
      <c r="H127" s="652">
        <v>2755</v>
      </c>
      <c r="I127" s="651">
        <v>3905</v>
      </c>
      <c r="J127" s="650">
        <v>2600</v>
      </c>
      <c r="K127" s="651">
        <v>3682</v>
      </c>
      <c r="L127" s="650">
        <v>2671</v>
      </c>
      <c r="M127" s="651">
        <v>3512.82</v>
      </c>
      <c r="N127" s="650">
        <v>1777</v>
      </c>
      <c r="O127" s="651">
        <v>2555</v>
      </c>
      <c r="P127" s="650">
        <v>2005.17</v>
      </c>
      <c r="Q127" s="651"/>
      <c r="R127" s="650">
        <v>2297.1799999999998</v>
      </c>
      <c r="S127" s="651">
        <v>3217.38</v>
      </c>
      <c r="T127" s="650">
        <v>1955.32</v>
      </c>
      <c r="U127" s="651">
        <v>2629.19</v>
      </c>
      <c r="V127" s="593"/>
      <c r="W127" s="594"/>
      <c r="X127" s="593"/>
      <c r="Y127" s="594"/>
      <c r="Z127" s="593"/>
      <c r="AA127" s="594"/>
      <c r="AB127" s="593"/>
      <c r="AC127" s="594"/>
      <c r="AD127" s="593"/>
      <c r="AE127" s="594"/>
      <c r="AF127" s="593"/>
      <c r="AG127" s="594"/>
    </row>
    <row r="128" spans="1:33" x14ac:dyDescent="0.15">
      <c r="A128" s="758" t="s">
        <v>167</v>
      </c>
      <c r="B128" s="758"/>
      <c r="C128" s="10" t="s">
        <v>375</v>
      </c>
      <c r="D128" s="650"/>
      <c r="E128" s="651"/>
      <c r="F128" s="652"/>
      <c r="G128" s="651"/>
      <c r="H128" s="652"/>
      <c r="I128" s="651"/>
      <c r="J128" s="650"/>
      <c r="K128" s="651"/>
      <c r="L128" s="650"/>
      <c r="M128" s="651"/>
      <c r="N128" s="650"/>
      <c r="O128" s="651"/>
      <c r="P128" s="650"/>
      <c r="Q128" s="651"/>
      <c r="R128" s="650"/>
      <c r="S128" s="651"/>
      <c r="T128" s="650"/>
      <c r="U128" s="651"/>
      <c r="V128" s="593"/>
      <c r="W128" s="594"/>
      <c r="X128" s="593"/>
      <c r="Y128" s="594"/>
      <c r="Z128" s="593"/>
      <c r="AA128" s="594"/>
      <c r="AB128" s="593"/>
      <c r="AC128" s="594"/>
      <c r="AD128" s="593"/>
      <c r="AE128" s="594"/>
      <c r="AF128" s="593"/>
      <c r="AG128" s="594"/>
    </row>
    <row r="129" spans="1:33" x14ac:dyDescent="0.15">
      <c r="A129" s="758" t="s">
        <v>168</v>
      </c>
      <c r="B129" s="758"/>
      <c r="C129" s="10" t="s">
        <v>281</v>
      </c>
      <c r="D129" s="650">
        <v>211</v>
      </c>
      <c r="E129" s="651">
        <v>211</v>
      </c>
      <c r="F129" s="652">
        <v>322</v>
      </c>
      <c r="G129" s="651">
        <v>307</v>
      </c>
      <c r="H129" s="652">
        <v>310</v>
      </c>
      <c r="I129" s="651">
        <v>315</v>
      </c>
      <c r="J129" s="650">
        <v>144</v>
      </c>
      <c r="K129" s="651">
        <v>222</v>
      </c>
      <c r="L129" s="650">
        <v>198</v>
      </c>
      <c r="M129" s="651">
        <v>1430.13</v>
      </c>
      <c r="N129" s="650">
        <v>214</v>
      </c>
      <c r="O129" s="651">
        <v>246</v>
      </c>
      <c r="P129" s="650">
        <v>1046.46</v>
      </c>
      <c r="Q129" s="651"/>
      <c r="R129" s="650">
        <v>1160.29</v>
      </c>
      <c r="S129" s="651">
        <v>1187.06</v>
      </c>
      <c r="T129" s="650">
        <v>1116.21</v>
      </c>
      <c r="U129" s="651">
        <v>1172.93</v>
      </c>
      <c r="V129" s="593"/>
      <c r="W129" s="594"/>
      <c r="X129" s="593"/>
      <c r="Y129" s="594"/>
      <c r="Z129" s="593"/>
      <c r="AA129" s="594"/>
      <c r="AB129" s="593"/>
      <c r="AC129" s="594"/>
      <c r="AD129" s="593"/>
      <c r="AE129" s="594"/>
      <c r="AF129" s="593"/>
      <c r="AG129" s="594"/>
    </row>
    <row r="130" spans="1:33" x14ac:dyDescent="0.15">
      <c r="A130" s="758" t="s">
        <v>169</v>
      </c>
      <c r="B130" s="758"/>
      <c r="C130" s="10" t="s">
        <v>282</v>
      </c>
      <c r="D130" s="650">
        <v>11598</v>
      </c>
      <c r="E130" s="651">
        <v>11598</v>
      </c>
      <c r="F130" s="652">
        <v>13686</v>
      </c>
      <c r="G130" s="651">
        <v>13943</v>
      </c>
      <c r="H130" s="652">
        <v>15655</v>
      </c>
      <c r="I130" s="651">
        <v>13388</v>
      </c>
      <c r="J130" s="650">
        <v>13262</v>
      </c>
      <c r="K130" s="651">
        <v>12498</v>
      </c>
      <c r="L130" s="650">
        <v>15862</v>
      </c>
      <c r="M130" s="651">
        <v>10128.14</v>
      </c>
      <c r="N130" s="650">
        <v>12127</v>
      </c>
      <c r="O130" s="651">
        <v>3943</v>
      </c>
      <c r="P130" s="650">
        <v>16126.76</v>
      </c>
      <c r="Q130" s="651"/>
      <c r="R130" s="650">
        <v>9896.89</v>
      </c>
      <c r="S130" s="651">
        <v>10573.27</v>
      </c>
      <c r="T130" s="650">
        <v>12876.15</v>
      </c>
      <c r="U130" s="651">
        <v>12537.37</v>
      </c>
      <c r="V130" s="593"/>
      <c r="W130" s="594"/>
      <c r="X130" s="593"/>
      <c r="Y130" s="594"/>
      <c r="Z130" s="593"/>
      <c r="AA130" s="594"/>
      <c r="AB130" s="593"/>
      <c r="AC130" s="594"/>
      <c r="AD130" s="593"/>
      <c r="AE130" s="594"/>
      <c r="AF130" s="593"/>
      <c r="AG130" s="594"/>
    </row>
    <row r="131" spans="1:33" x14ac:dyDescent="0.15">
      <c r="A131" s="758" t="s">
        <v>191</v>
      </c>
      <c r="B131" s="758"/>
      <c r="C131" s="10" t="s">
        <v>376</v>
      </c>
      <c r="D131" s="650"/>
      <c r="E131" s="651"/>
      <c r="F131" s="652"/>
      <c r="G131" s="651"/>
      <c r="H131" s="652"/>
      <c r="I131" s="651"/>
      <c r="J131" s="650"/>
      <c r="K131" s="651"/>
      <c r="L131" s="650"/>
      <c r="M131" s="651"/>
      <c r="N131" s="650"/>
      <c r="O131" s="651"/>
      <c r="P131" s="650"/>
      <c r="Q131" s="651"/>
      <c r="R131" s="650"/>
      <c r="S131" s="651"/>
      <c r="T131" s="650"/>
      <c r="U131" s="651"/>
      <c r="V131" s="593"/>
      <c r="W131" s="594"/>
      <c r="X131" s="593"/>
      <c r="Y131" s="594"/>
      <c r="Z131" s="593"/>
      <c r="AA131" s="594"/>
      <c r="AB131" s="593"/>
      <c r="AC131" s="594"/>
      <c r="AD131" s="593"/>
      <c r="AE131" s="594"/>
      <c r="AF131" s="593"/>
      <c r="AG131" s="594"/>
    </row>
    <row r="132" spans="1:33" x14ac:dyDescent="0.15">
      <c r="A132" s="758" t="s">
        <v>170</v>
      </c>
      <c r="B132" s="758"/>
      <c r="C132" s="10" t="s">
        <v>377</v>
      </c>
      <c r="D132" s="650"/>
      <c r="E132" s="651"/>
      <c r="F132" s="652"/>
      <c r="G132" s="651"/>
      <c r="H132" s="652"/>
      <c r="I132" s="651"/>
      <c r="J132" s="650"/>
      <c r="K132" s="651"/>
      <c r="L132" s="650"/>
      <c r="M132" s="651"/>
      <c r="N132" s="650"/>
      <c r="O132" s="651"/>
      <c r="P132" s="650"/>
      <c r="Q132" s="651"/>
      <c r="R132" s="650"/>
      <c r="S132" s="651"/>
      <c r="T132" s="650"/>
      <c r="U132" s="651"/>
      <c r="V132" s="593"/>
      <c r="W132" s="594"/>
      <c r="X132" s="593"/>
      <c r="Y132" s="594"/>
      <c r="Z132" s="593"/>
      <c r="AA132" s="594"/>
      <c r="AB132" s="593"/>
      <c r="AC132" s="594"/>
      <c r="AD132" s="593"/>
      <c r="AE132" s="594"/>
      <c r="AF132" s="593"/>
      <c r="AG132" s="594"/>
    </row>
    <row r="133" spans="1:33" x14ac:dyDescent="0.15">
      <c r="A133" s="758" t="s">
        <v>171</v>
      </c>
      <c r="B133" s="758"/>
      <c r="C133" s="10" t="s">
        <v>378</v>
      </c>
      <c r="D133" s="650"/>
      <c r="E133" s="651"/>
      <c r="F133" s="652"/>
      <c r="G133" s="651"/>
      <c r="H133" s="652"/>
      <c r="I133" s="651"/>
      <c r="J133" s="650"/>
      <c r="K133" s="651"/>
      <c r="L133" s="650"/>
      <c r="M133" s="651"/>
      <c r="N133" s="650"/>
      <c r="O133" s="651"/>
      <c r="P133" s="650"/>
      <c r="Q133" s="651"/>
      <c r="R133" s="650"/>
      <c r="S133" s="651"/>
      <c r="T133" s="650"/>
      <c r="U133" s="651"/>
      <c r="V133" s="593"/>
      <c r="W133" s="594"/>
      <c r="X133" s="593"/>
      <c r="Y133" s="594"/>
      <c r="Z133" s="593"/>
      <c r="AA133" s="594"/>
      <c r="AB133" s="593"/>
      <c r="AC133" s="594"/>
      <c r="AD133" s="593"/>
      <c r="AE133" s="594"/>
      <c r="AF133" s="593"/>
      <c r="AG133" s="594"/>
    </row>
    <row r="134" spans="1:33" x14ac:dyDescent="0.15">
      <c r="A134" s="758" t="s">
        <v>172</v>
      </c>
      <c r="B134" s="758"/>
      <c r="C134" s="10" t="s">
        <v>379</v>
      </c>
      <c r="D134" s="650"/>
      <c r="E134" s="651"/>
      <c r="F134" s="652"/>
      <c r="G134" s="651"/>
      <c r="H134" s="652"/>
      <c r="I134" s="651"/>
      <c r="J134" s="650"/>
      <c r="K134" s="651"/>
      <c r="L134" s="650"/>
      <c r="M134" s="651"/>
      <c r="N134" s="650"/>
      <c r="O134" s="651"/>
      <c r="P134" s="650"/>
      <c r="Q134" s="651"/>
      <c r="R134" s="650"/>
      <c r="S134" s="651"/>
      <c r="T134" s="650"/>
      <c r="U134" s="651"/>
      <c r="V134" s="593"/>
      <c r="W134" s="594"/>
      <c r="X134" s="593"/>
      <c r="Y134" s="594"/>
      <c r="Z134" s="593"/>
      <c r="AA134" s="594"/>
      <c r="AB134" s="593"/>
      <c r="AC134" s="594"/>
      <c r="AD134" s="593"/>
      <c r="AE134" s="594"/>
      <c r="AF134" s="593"/>
      <c r="AG134" s="594"/>
    </row>
    <row r="135" spans="1:33" ht="15" thickBot="1" x14ac:dyDescent="0.2">
      <c r="A135" s="762" t="s">
        <v>173</v>
      </c>
      <c r="B135" s="762"/>
      <c r="C135" s="10" t="s">
        <v>380</v>
      </c>
      <c r="D135" s="650">
        <v>157.5</v>
      </c>
      <c r="E135" s="651">
        <v>157.5</v>
      </c>
      <c r="F135" s="650">
        <v>631</v>
      </c>
      <c r="G135" s="651">
        <v>358</v>
      </c>
      <c r="H135" s="650">
        <v>390</v>
      </c>
      <c r="I135" s="651">
        <v>400</v>
      </c>
      <c r="J135" s="650">
        <v>229</v>
      </c>
      <c r="K135" s="651">
        <v>508</v>
      </c>
      <c r="L135" s="650">
        <v>344</v>
      </c>
      <c r="M135" s="651">
        <v>141.76</v>
      </c>
      <c r="N135" s="650">
        <v>351</v>
      </c>
      <c r="O135" s="651">
        <v>446</v>
      </c>
      <c r="P135" s="650">
        <v>1514.68</v>
      </c>
      <c r="Q135" s="651"/>
      <c r="R135" s="650">
        <v>2072.25</v>
      </c>
      <c r="S135" s="651">
        <v>1326.32</v>
      </c>
      <c r="T135" s="650">
        <v>1698.12</v>
      </c>
      <c r="U135" s="651">
        <v>740.36</v>
      </c>
      <c r="V135" s="593"/>
      <c r="W135" s="594"/>
      <c r="X135" s="593"/>
      <c r="Y135" s="594"/>
      <c r="Z135" s="595"/>
      <c r="AA135" s="596"/>
      <c r="AB135" s="595"/>
      <c r="AC135" s="596"/>
      <c r="AD135" s="595"/>
      <c r="AE135" s="596"/>
      <c r="AF135" s="595"/>
      <c r="AG135" s="596"/>
    </row>
    <row r="136" spans="1:33" ht="16" thickBot="1" x14ac:dyDescent="0.2">
      <c r="A136" s="561" t="s">
        <v>175</v>
      </c>
      <c r="B136" s="569" t="s">
        <v>31</v>
      </c>
      <c r="C136" s="708" t="s">
        <v>299</v>
      </c>
      <c r="D136" s="709">
        <f>D137+D142+D151</f>
        <v>0</v>
      </c>
      <c r="E136" s="709">
        <f>E137+E142+E151</f>
        <v>0</v>
      </c>
      <c r="F136" s="710">
        <f t="shared" ref="F136:AG136" si="134">F137+F142+F151</f>
        <v>82172</v>
      </c>
      <c r="G136" s="709">
        <f t="shared" si="134"/>
        <v>64822</v>
      </c>
      <c r="H136" s="710">
        <f t="shared" si="134"/>
        <v>82063</v>
      </c>
      <c r="I136" s="709">
        <f t="shared" si="134"/>
        <v>88686</v>
      </c>
      <c r="J136" s="710">
        <f t="shared" si="134"/>
        <v>87198</v>
      </c>
      <c r="K136" s="709">
        <f t="shared" si="134"/>
        <v>95557</v>
      </c>
      <c r="L136" s="710">
        <f t="shared" si="134"/>
        <v>107910</v>
      </c>
      <c r="M136" s="709">
        <f t="shared" si="134"/>
        <v>108012</v>
      </c>
      <c r="N136" s="710">
        <f t="shared" si="134"/>
        <v>117739</v>
      </c>
      <c r="O136" s="709">
        <f t="shared" si="134"/>
        <v>116427</v>
      </c>
      <c r="P136" s="710">
        <f t="shared" si="134"/>
        <v>126344.5</v>
      </c>
      <c r="Q136" s="709">
        <f t="shared" si="134"/>
        <v>144839.5</v>
      </c>
      <c r="R136" s="710">
        <f t="shared" si="134"/>
        <v>141180</v>
      </c>
      <c r="S136" s="709">
        <f t="shared" si="134"/>
        <v>161316.26</v>
      </c>
      <c r="T136" s="710">
        <f t="shared" si="134"/>
        <v>173910</v>
      </c>
      <c r="U136" s="709">
        <f t="shared" si="134"/>
        <v>195377.5</v>
      </c>
      <c r="V136" s="710">
        <f t="shared" si="134"/>
        <v>0</v>
      </c>
      <c r="W136" s="709">
        <f t="shared" si="134"/>
        <v>0</v>
      </c>
      <c r="X136" s="710">
        <f t="shared" si="134"/>
        <v>0</v>
      </c>
      <c r="Y136" s="711">
        <f t="shared" si="134"/>
        <v>0</v>
      </c>
      <c r="Z136" s="25">
        <f t="shared" si="134"/>
        <v>0</v>
      </c>
      <c r="AA136" s="597">
        <f t="shared" si="134"/>
        <v>0</v>
      </c>
      <c r="AB136" s="25">
        <f t="shared" si="134"/>
        <v>0</v>
      </c>
      <c r="AC136" s="597">
        <f t="shared" si="134"/>
        <v>0</v>
      </c>
      <c r="AD136" s="25">
        <f t="shared" si="134"/>
        <v>0</v>
      </c>
      <c r="AE136" s="597">
        <f t="shared" si="134"/>
        <v>0</v>
      </c>
      <c r="AF136" s="25">
        <f t="shared" si="134"/>
        <v>0</v>
      </c>
      <c r="AG136" s="26">
        <f t="shared" si="134"/>
        <v>0</v>
      </c>
    </row>
    <row r="137" spans="1:33" ht="16" thickBot="1" x14ac:dyDescent="0.2">
      <c r="A137" s="598" t="s">
        <v>5</v>
      </c>
      <c r="B137" s="599" t="s">
        <v>31</v>
      </c>
      <c r="C137" s="600" t="s">
        <v>304</v>
      </c>
      <c r="D137" s="601">
        <f>SUM(D138:D141)</f>
        <v>0</v>
      </c>
      <c r="E137" s="602">
        <f t="shared" ref="E137:AG137" si="135">SUM(E138:E141)</f>
        <v>0</v>
      </c>
      <c r="F137" s="601">
        <f t="shared" si="135"/>
        <v>0</v>
      </c>
      <c r="G137" s="602">
        <f t="shared" si="135"/>
        <v>0</v>
      </c>
      <c r="H137" s="601">
        <f t="shared" si="135"/>
        <v>0</v>
      </c>
      <c r="I137" s="602">
        <f t="shared" si="135"/>
        <v>0</v>
      </c>
      <c r="J137" s="601">
        <f t="shared" si="135"/>
        <v>0</v>
      </c>
      <c r="K137" s="602">
        <f t="shared" si="135"/>
        <v>0</v>
      </c>
      <c r="L137" s="601">
        <f t="shared" si="135"/>
        <v>0</v>
      </c>
      <c r="M137" s="602">
        <f t="shared" si="135"/>
        <v>0</v>
      </c>
      <c r="N137" s="601">
        <f t="shared" si="135"/>
        <v>0</v>
      </c>
      <c r="O137" s="602">
        <f t="shared" si="135"/>
        <v>0</v>
      </c>
      <c r="P137" s="601">
        <f t="shared" si="135"/>
        <v>0</v>
      </c>
      <c r="Q137" s="602">
        <f t="shared" si="135"/>
        <v>0</v>
      </c>
      <c r="R137" s="601">
        <f t="shared" si="135"/>
        <v>0</v>
      </c>
      <c r="S137" s="602">
        <f t="shared" si="135"/>
        <v>0</v>
      </c>
      <c r="T137" s="601">
        <f t="shared" si="135"/>
        <v>0</v>
      </c>
      <c r="U137" s="602">
        <f t="shared" si="135"/>
        <v>0</v>
      </c>
      <c r="V137" s="601">
        <f t="shared" si="135"/>
        <v>0</v>
      </c>
      <c r="W137" s="602">
        <f t="shared" si="135"/>
        <v>0</v>
      </c>
      <c r="X137" s="601">
        <f t="shared" si="135"/>
        <v>0</v>
      </c>
      <c r="Y137" s="602">
        <f t="shared" si="135"/>
        <v>0</v>
      </c>
      <c r="Z137" s="601">
        <f t="shared" si="135"/>
        <v>0</v>
      </c>
      <c r="AA137" s="602">
        <f t="shared" si="135"/>
        <v>0</v>
      </c>
      <c r="AB137" s="601">
        <f t="shared" si="135"/>
        <v>0</v>
      </c>
      <c r="AC137" s="602">
        <f t="shared" si="135"/>
        <v>0</v>
      </c>
      <c r="AD137" s="601">
        <f t="shared" si="135"/>
        <v>0</v>
      </c>
      <c r="AE137" s="602">
        <f t="shared" si="135"/>
        <v>0</v>
      </c>
      <c r="AF137" s="601">
        <f t="shared" si="135"/>
        <v>0</v>
      </c>
      <c r="AG137" s="602">
        <f t="shared" si="135"/>
        <v>0</v>
      </c>
    </row>
    <row r="138" spans="1:33" x14ac:dyDescent="0.15">
      <c r="A138" s="2" t="s">
        <v>56</v>
      </c>
      <c r="B138" s="8" t="s">
        <v>47</v>
      </c>
      <c r="C138" s="10" t="s">
        <v>340</v>
      </c>
      <c r="D138" s="183">
        <v>0</v>
      </c>
      <c r="E138" s="184">
        <v>0</v>
      </c>
      <c r="F138" s="183">
        <v>0</v>
      </c>
      <c r="G138" s="184">
        <v>0</v>
      </c>
      <c r="H138" s="183">
        <v>0</v>
      </c>
      <c r="I138" s="184">
        <v>0</v>
      </c>
      <c r="J138" s="183">
        <v>0</v>
      </c>
      <c r="K138" s="184">
        <v>0</v>
      </c>
      <c r="L138" s="183">
        <v>0</v>
      </c>
      <c r="M138" s="184">
        <v>0</v>
      </c>
      <c r="N138" s="183">
        <v>0</v>
      </c>
      <c r="O138" s="184">
        <v>0</v>
      </c>
      <c r="P138" s="183">
        <v>0</v>
      </c>
      <c r="Q138" s="184">
        <v>0</v>
      </c>
      <c r="R138" s="183">
        <v>0</v>
      </c>
      <c r="S138" s="184">
        <v>0</v>
      </c>
      <c r="T138" s="183">
        <v>0</v>
      </c>
      <c r="U138" s="184">
        <v>0</v>
      </c>
      <c r="V138" s="183">
        <v>0</v>
      </c>
      <c r="W138" s="184">
        <v>0</v>
      </c>
      <c r="X138" s="183">
        <v>0</v>
      </c>
      <c r="Y138" s="184">
        <v>0</v>
      </c>
      <c r="Z138" s="183">
        <v>0</v>
      </c>
      <c r="AA138" s="184">
        <v>0</v>
      </c>
      <c r="AB138" s="183">
        <v>0</v>
      </c>
      <c r="AC138" s="184">
        <v>0</v>
      </c>
      <c r="AD138" s="183">
        <v>0</v>
      </c>
      <c r="AE138" s="184">
        <v>0</v>
      </c>
      <c r="AF138" s="183">
        <v>0</v>
      </c>
      <c r="AG138" s="184">
        <v>0</v>
      </c>
    </row>
    <row r="139" spans="1:33" x14ac:dyDescent="0.15">
      <c r="A139" s="2"/>
      <c r="B139" s="8" t="s">
        <v>15</v>
      </c>
      <c r="C139" s="10" t="s">
        <v>341</v>
      </c>
      <c r="D139" s="183">
        <v>0</v>
      </c>
      <c r="E139" s="184">
        <v>0</v>
      </c>
      <c r="F139" s="183">
        <v>0</v>
      </c>
      <c r="G139" s="184">
        <v>0</v>
      </c>
      <c r="H139" s="183">
        <v>0</v>
      </c>
      <c r="I139" s="184">
        <v>0</v>
      </c>
      <c r="J139" s="183">
        <v>0</v>
      </c>
      <c r="K139" s="184">
        <v>0</v>
      </c>
      <c r="L139" s="183">
        <v>0</v>
      </c>
      <c r="M139" s="184">
        <v>0</v>
      </c>
      <c r="N139" s="183">
        <v>0</v>
      </c>
      <c r="O139" s="184">
        <v>0</v>
      </c>
      <c r="P139" s="183">
        <v>0</v>
      </c>
      <c r="Q139" s="184">
        <v>0</v>
      </c>
      <c r="R139" s="183">
        <v>0</v>
      </c>
      <c r="S139" s="184">
        <v>0</v>
      </c>
      <c r="T139" s="183">
        <v>0</v>
      </c>
      <c r="U139" s="184">
        <v>0</v>
      </c>
      <c r="V139" s="183">
        <v>0</v>
      </c>
      <c r="W139" s="184">
        <v>0</v>
      </c>
      <c r="X139" s="183">
        <v>0</v>
      </c>
      <c r="Y139" s="184">
        <v>0</v>
      </c>
      <c r="Z139" s="183">
        <v>0</v>
      </c>
      <c r="AA139" s="184">
        <v>0</v>
      </c>
      <c r="AB139" s="183">
        <v>0</v>
      </c>
      <c r="AC139" s="184">
        <v>0</v>
      </c>
      <c r="AD139" s="183">
        <v>0</v>
      </c>
      <c r="AE139" s="184">
        <v>0</v>
      </c>
      <c r="AF139" s="183">
        <v>0</v>
      </c>
      <c r="AG139" s="184">
        <v>0</v>
      </c>
    </row>
    <row r="140" spans="1:33" x14ac:dyDescent="0.15">
      <c r="A140" s="2"/>
      <c r="B140" s="8" t="s">
        <v>14</v>
      </c>
      <c r="C140" s="10" t="s">
        <v>342</v>
      </c>
      <c r="D140" s="183">
        <v>0</v>
      </c>
      <c r="E140" s="184">
        <v>0</v>
      </c>
      <c r="F140" s="183">
        <v>0</v>
      </c>
      <c r="G140" s="184">
        <v>0</v>
      </c>
      <c r="H140" s="183">
        <v>0</v>
      </c>
      <c r="I140" s="184">
        <v>0</v>
      </c>
      <c r="J140" s="183">
        <v>0</v>
      </c>
      <c r="K140" s="184">
        <v>0</v>
      </c>
      <c r="L140" s="183">
        <v>0</v>
      </c>
      <c r="M140" s="184">
        <v>0</v>
      </c>
      <c r="N140" s="183">
        <v>0</v>
      </c>
      <c r="O140" s="184">
        <v>0</v>
      </c>
      <c r="P140" s="183">
        <v>0</v>
      </c>
      <c r="Q140" s="184">
        <v>0</v>
      </c>
      <c r="R140" s="183">
        <v>0</v>
      </c>
      <c r="S140" s="184">
        <v>0</v>
      </c>
      <c r="T140" s="183">
        <v>0</v>
      </c>
      <c r="U140" s="184">
        <v>0</v>
      </c>
      <c r="V140" s="183">
        <v>0</v>
      </c>
      <c r="W140" s="184">
        <v>0</v>
      </c>
      <c r="X140" s="183">
        <v>0</v>
      </c>
      <c r="Y140" s="184">
        <v>0</v>
      </c>
      <c r="Z140" s="183">
        <v>0</v>
      </c>
      <c r="AA140" s="184">
        <v>0</v>
      </c>
      <c r="AB140" s="183">
        <v>0</v>
      </c>
      <c r="AC140" s="184">
        <v>0</v>
      </c>
      <c r="AD140" s="183">
        <v>0</v>
      </c>
      <c r="AE140" s="184">
        <v>0</v>
      </c>
      <c r="AF140" s="183">
        <v>0</v>
      </c>
      <c r="AG140" s="184">
        <v>0</v>
      </c>
    </row>
    <row r="141" spans="1:33" ht="15" thickBot="1" x14ac:dyDescent="0.2">
      <c r="A141" s="2"/>
      <c r="B141" s="8" t="s">
        <v>16</v>
      </c>
      <c r="C141" s="10" t="s">
        <v>343</v>
      </c>
      <c r="D141" s="183">
        <v>0</v>
      </c>
      <c r="E141" s="184">
        <v>0</v>
      </c>
      <c r="F141" s="183">
        <v>0</v>
      </c>
      <c r="G141" s="184">
        <v>0</v>
      </c>
      <c r="H141" s="183">
        <v>0</v>
      </c>
      <c r="I141" s="184">
        <v>0</v>
      </c>
      <c r="J141" s="183">
        <v>0</v>
      </c>
      <c r="K141" s="184">
        <v>0</v>
      </c>
      <c r="L141" s="183">
        <v>0</v>
      </c>
      <c r="M141" s="184">
        <v>0</v>
      </c>
      <c r="N141" s="183">
        <v>0</v>
      </c>
      <c r="O141" s="184">
        <v>0</v>
      </c>
      <c r="P141" s="183">
        <v>0</v>
      </c>
      <c r="Q141" s="184">
        <v>0</v>
      </c>
      <c r="R141" s="183">
        <v>0</v>
      </c>
      <c r="S141" s="184">
        <v>0</v>
      </c>
      <c r="T141" s="183">
        <v>0</v>
      </c>
      <c r="U141" s="184">
        <v>0</v>
      </c>
      <c r="V141" s="183">
        <v>0</v>
      </c>
      <c r="W141" s="184">
        <v>0</v>
      </c>
      <c r="X141" s="183">
        <v>0</v>
      </c>
      <c r="Y141" s="184">
        <v>0</v>
      </c>
      <c r="Z141" s="183">
        <v>0</v>
      </c>
      <c r="AA141" s="184">
        <v>0</v>
      </c>
      <c r="AB141" s="183">
        <v>0</v>
      </c>
      <c r="AC141" s="184">
        <v>0</v>
      </c>
      <c r="AD141" s="183">
        <v>0</v>
      </c>
      <c r="AE141" s="184">
        <v>0</v>
      </c>
      <c r="AF141" s="183">
        <v>0</v>
      </c>
      <c r="AG141" s="184">
        <v>0</v>
      </c>
    </row>
    <row r="142" spans="1:33" ht="16" thickBot="1" x14ac:dyDescent="0.2">
      <c r="A142" s="598" t="s">
        <v>175</v>
      </c>
      <c r="B142" s="599" t="s">
        <v>31</v>
      </c>
      <c r="C142" s="600" t="s">
        <v>299</v>
      </c>
      <c r="D142" s="601">
        <f>SUM(D143:D150)</f>
        <v>0</v>
      </c>
      <c r="E142" s="602">
        <f t="shared" ref="E142:AG142" si="136">SUM(E143:E150)</f>
        <v>0</v>
      </c>
      <c r="F142" s="601">
        <f t="shared" si="136"/>
        <v>82172</v>
      </c>
      <c r="G142" s="602">
        <f t="shared" si="136"/>
        <v>64822</v>
      </c>
      <c r="H142" s="601">
        <f t="shared" si="136"/>
        <v>82063</v>
      </c>
      <c r="I142" s="602">
        <f t="shared" si="136"/>
        <v>88686</v>
      </c>
      <c r="J142" s="601">
        <f t="shared" si="136"/>
        <v>87198</v>
      </c>
      <c r="K142" s="602">
        <f t="shared" si="136"/>
        <v>95557</v>
      </c>
      <c r="L142" s="601">
        <f t="shared" si="136"/>
        <v>107910</v>
      </c>
      <c r="M142" s="602">
        <f t="shared" si="136"/>
        <v>108012</v>
      </c>
      <c r="N142" s="601">
        <f t="shared" si="136"/>
        <v>117739</v>
      </c>
      <c r="O142" s="602">
        <f t="shared" si="136"/>
        <v>116427</v>
      </c>
      <c r="P142" s="601">
        <f t="shared" si="136"/>
        <v>126344.5</v>
      </c>
      <c r="Q142" s="602">
        <f t="shared" si="136"/>
        <v>144839.5</v>
      </c>
      <c r="R142" s="601">
        <f t="shared" si="136"/>
        <v>141180</v>
      </c>
      <c r="S142" s="602">
        <f t="shared" si="136"/>
        <v>161316.26</v>
      </c>
      <c r="T142" s="601">
        <f t="shared" si="136"/>
        <v>173910</v>
      </c>
      <c r="U142" s="602">
        <f t="shared" si="136"/>
        <v>195377.5</v>
      </c>
      <c r="V142" s="601">
        <f t="shared" si="136"/>
        <v>0</v>
      </c>
      <c r="W142" s="602">
        <f t="shared" si="136"/>
        <v>0</v>
      </c>
      <c r="X142" s="601">
        <f t="shared" si="136"/>
        <v>0</v>
      </c>
      <c r="Y142" s="602">
        <f t="shared" si="136"/>
        <v>0</v>
      </c>
      <c r="Z142" s="601">
        <f t="shared" si="136"/>
        <v>0</v>
      </c>
      <c r="AA142" s="602">
        <f t="shared" si="136"/>
        <v>0</v>
      </c>
      <c r="AB142" s="601">
        <f t="shared" si="136"/>
        <v>0</v>
      </c>
      <c r="AC142" s="602">
        <f t="shared" si="136"/>
        <v>0</v>
      </c>
      <c r="AD142" s="601">
        <f t="shared" si="136"/>
        <v>0</v>
      </c>
      <c r="AE142" s="602">
        <f t="shared" si="136"/>
        <v>0</v>
      </c>
      <c r="AF142" s="601">
        <f t="shared" si="136"/>
        <v>0</v>
      </c>
      <c r="AG142" s="602">
        <f t="shared" si="136"/>
        <v>0</v>
      </c>
    </row>
    <row r="143" spans="1:33" x14ac:dyDescent="0.15">
      <c r="A143" s="2" t="s">
        <v>551</v>
      </c>
      <c r="B143" s="8" t="s">
        <v>47</v>
      </c>
      <c r="C143" s="3" t="s">
        <v>555</v>
      </c>
      <c r="D143" s="183">
        <v>0</v>
      </c>
      <c r="E143" s="184">
        <v>0</v>
      </c>
      <c r="F143" s="183">
        <v>55760</v>
      </c>
      <c r="G143" s="184">
        <v>39960</v>
      </c>
      <c r="H143" s="183">
        <v>56580</v>
      </c>
      <c r="I143" s="184">
        <v>65180</v>
      </c>
      <c r="J143" s="183">
        <v>67660</v>
      </c>
      <c r="K143" s="184">
        <v>76558</v>
      </c>
      <c r="L143" s="183">
        <v>93262</v>
      </c>
      <c r="M143" s="184">
        <v>96852</v>
      </c>
      <c r="N143" s="183">
        <v>0</v>
      </c>
      <c r="O143" s="184">
        <v>0</v>
      </c>
      <c r="P143" s="183">
        <v>0</v>
      </c>
      <c r="Q143" s="184">
        <v>0</v>
      </c>
      <c r="R143" s="183">
        <v>0</v>
      </c>
      <c r="S143" s="184">
        <v>0</v>
      </c>
      <c r="T143" s="183">
        <v>0</v>
      </c>
      <c r="U143" s="184">
        <v>0</v>
      </c>
      <c r="V143" s="254">
        <v>0</v>
      </c>
      <c r="W143" s="255">
        <v>0</v>
      </c>
      <c r="X143" s="254">
        <v>0</v>
      </c>
      <c r="Y143" s="255">
        <v>0</v>
      </c>
      <c r="Z143" s="254">
        <v>0</v>
      </c>
      <c r="AA143" s="255">
        <v>0</v>
      </c>
      <c r="AB143" s="254">
        <v>0</v>
      </c>
      <c r="AC143" s="255">
        <v>0</v>
      </c>
      <c r="AD143" s="254">
        <v>0</v>
      </c>
      <c r="AE143" s="255">
        <v>0</v>
      </c>
      <c r="AF143" s="254">
        <v>0</v>
      </c>
      <c r="AG143" s="255">
        <v>0</v>
      </c>
    </row>
    <row r="144" spans="1:33" x14ac:dyDescent="0.15">
      <c r="A144" s="2" t="s">
        <v>552</v>
      </c>
      <c r="B144" s="8" t="s">
        <v>47</v>
      </c>
      <c r="C144" s="10" t="s">
        <v>556</v>
      </c>
      <c r="D144" s="183">
        <v>0</v>
      </c>
      <c r="E144" s="184">
        <v>0</v>
      </c>
      <c r="F144" s="183">
        <v>26412</v>
      </c>
      <c r="G144" s="184">
        <v>24862</v>
      </c>
      <c r="H144" s="183">
        <v>25483</v>
      </c>
      <c r="I144" s="184">
        <v>23506</v>
      </c>
      <c r="J144" s="183">
        <v>19538</v>
      </c>
      <c r="K144" s="184">
        <v>18999</v>
      </c>
      <c r="L144" s="183">
        <v>14648</v>
      </c>
      <c r="M144" s="184">
        <v>11160</v>
      </c>
      <c r="N144" s="183">
        <v>11703</v>
      </c>
      <c r="O144" s="184">
        <v>12253</v>
      </c>
      <c r="P144" s="183">
        <v>16972.5</v>
      </c>
      <c r="Q144" s="184">
        <v>20227.5</v>
      </c>
      <c r="R144" s="183">
        <v>24180</v>
      </c>
      <c r="S144" s="184">
        <v>26660</v>
      </c>
      <c r="T144" s="183">
        <v>30225</v>
      </c>
      <c r="U144" s="184">
        <v>36735</v>
      </c>
      <c r="V144" s="183">
        <v>0</v>
      </c>
      <c r="W144" s="184">
        <v>0</v>
      </c>
      <c r="X144" s="183">
        <v>0</v>
      </c>
      <c r="Y144" s="184">
        <v>0</v>
      </c>
      <c r="Z144" s="183">
        <v>0</v>
      </c>
      <c r="AA144" s="184">
        <v>0</v>
      </c>
      <c r="AB144" s="183">
        <v>0</v>
      </c>
      <c r="AC144" s="184">
        <v>0</v>
      </c>
      <c r="AD144" s="183">
        <v>0</v>
      </c>
      <c r="AE144" s="184">
        <v>0</v>
      </c>
      <c r="AF144" s="183">
        <v>0</v>
      </c>
      <c r="AG144" s="184">
        <v>0</v>
      </c>
    </row>
    <row r="145" spans="1:33" x14ac:dyDescent="0.15">
      <c r="A145" s="2"/>
      <c r="B145" s="8" t="s">
        <v>15</v>
      </c>
      <c r="C145" s="10" t="s">
        <v>331</v>
      </c>
      <c r="D145" s="183">
        <v>0</v>
      </c>
      <c r="E145" s="184">
        <v>0</v>
      </c>
      <c r="F145" s="183">
        <v>0</v>
      </c>
      <c r="G145" s="184">
        <v>0</v>
      </c>
      <c r="H145" s="183">
        <v>0</v>
      </c>
      <c r="I145" s="184">
        <v>0</v>
      </c>
      <c r="J145" s="183">
        <v>0</v>
      </c>
      <c r="K145" s="184">
        <v>0</v>
      </c>
      <c r="L145" s="183">
        <v>0</v>
      </c>
      <c r="M145" s="184">
        <v>0</v>
      </c>
      <c r="N145" s="183">
        <v>53018</v>
      </c>
      <c r="O145" s="184">
        <v>52087</v>
      </c>
      <c r="P145" s="183">
        <v>54686</v>
      </c>
      <c r="Q145" s="184">
        <v>62306</v>
      </c>
      <c r="R145" s="183">
        <v>58500</v>
      </c>
      <c r="S145" s="184">
        <v>67328.13</v>
      </c>
      <c r="T145" s="183">
        <v>71842.5</v>
      </c>
      <c r="U145" s="184">
        <v>79321.25</v>
      </c>
      <c r="V145" s="183">
        <v>0</v>
      </c>
      <c r="W145" s="184">
        <v>0</v>
      </c>
      <c r="X145" s="183">
        <v>0</v>
      </c>
      <c r="Y145" s="184">
        <v>0</v>
      </c>
      <c r="Z145" s="183">
        <v>0</v>
      </c>
      <c r="AA145" s="184">
        <v>0</v>
      </c>
      <c r="AB145" s="183">
        <v>0</v>
      </c>
      <c r="AC145" s="184">
        <v>0</v>
      </c>
      <c r="AD145" s="183">
        <v>0</v>
      </c>
      <c r="AE145" s="184">
        <v>0</v>
      </c>
      <c r="AF145" s="183">
        <v>0</v>
      </c>
      <c r="AG145" s="184">
        <v>0</v>
      </c>
    </row>
    <row r="146" spans="1:33" x14ac:dyDescent="0.15">
      <c r="A146" s="2"/>
      <c r="B146" s="8" t="s">
        <v>14</v>
      </c>
      <c r="C146" s="10" t="s">
        <v>332</v>
      </c>
      <c r="D146" s="183">
        <v>0</v>
      </c>
      <c r="E146" s="184">
        <v>0</v>
      </c>
      <c r="F146" s="183">
        <v>0</v>
      </c>
      <c r="G146" s="184">
        <v>0</v>
      </c>
      <c r="H146" s="183">
        <v>0</v>
      </c>
      <c r="I146" s="184">
        <v>0</v>
      </c>
      <c r="J146" s="183">
        <v>0</v>
      </c>
      <c r="K146" s="184">
        <v>0</v>
      </c>
      <c r="L146" s="183">
        <v>0</v>
      </c>
      <c r="M146" s="184">
        <v>0</v>
      </c>
      <c r="N146" s="183">
        <v>53018</v>
      </c>
      <c r="O146" s="184">
        <v>52087</v>
      </c>
      <c r="P146" s="183">
        <v>54686</v>
      </c>
      <c r="Q146" s="184">
        <v>62306</v>
      </c>
      <c r="R146" s="183">
        <v>58500</v>
      </c>
      <c r="S146" s="184">
        <v>67328.13</v>
      </c>
      <c r="T146" s="183">
        <v>71842.5</v>
      </c>
      <c r="U146" s="184">
        <v>79321.25</v>
      </c>
      <c r="V146" s="183">
        <v>0</v>
      </c>
      <c r="W146" s="184">
        <v>0</v>
      </c>
      <c r="X146" s="183">
        <v>0</v>
      </c>
      <c r="Y146" s="184">
        <v>0</v>
      </c>
      <c r="Z146" s="183">
        <v>0</v>
      </c>
      <c r="AA146" s="184">
        <v>0</v>
      </c>
      <c r="AB146" s="183">
        <v>0</v>
      </c>
      <c r="AC146" s="184">
        <v>0</v>
      </c>
      <c r="AD146" s="183">
        <v>0</v>
      </c>
      <c r="AE146" s="184">
        <v>0</v>
      </c>
      <c r="AF146" s="183">
        <v>0</v>
      </c>
      <c r="AG146" s="184">
        <v>0</v>
      </c>
    </row>
    <row r="147" spans="1:33" x14ac:dyDescent="0.15">
      <c r="A147" s="2"/>
      <c r="B147" s="8" t="s">
        <v>16</v>
      </c>
      <c r="C147" s="10" t="s">
        <v>333</v>
      </c>
      <c r="D147" s="183">
        <v>0</v>
      </c>
      <c r="E147" s="184">
        <v>0</v>
      </c>
      <c r="F147" s="183">
        <v>0</v>
      </c>
      <c r="G147" s="184">
        <v>0</v>
      </c>
      <c r="H147" s="183">
        <v>0</v>
      </c>
      <c r="I147" s="184">
        <v>0</v>
      </c>
      <c r="J147" s="183">
        <v>0</v>
      </c>
      <c r="K147" s="184">
        <v>0</v>
      </c>
      <c r="L147" s="183">
        <v>0</v>
      </c>
      <c r="M147" s="184">
        <v>0</v>
      </c>
      <c r="N147" s="183">
        <v>0</v>
      </c>
      <c r="O147" s="184">
        <v>0</v>
      </c>
      <c r="P147" s="183">
        <v>0</v>
      </c>
      <c r="Q147" s="184">
        <v>0</v>
      </c>
      <c r="R147" s="183">
        <v>0</v>
      </c>
      <c r="S147" s="184">
        <v>0</v>
      </c>
      <c r="T147" s="183">
        <v>0</v>
      </c>
      <c r="U147" s="184">
        <v>0</v>
      </c>
      <c r="V147" s="183">
        <v>0</v>
      </c>
      <c r="W147" s="184">
        <v>0</v>
      </c>
      <c r="X147" s="183">
        <v>0</v>
      </c>
      <c r="Y147" s="184">
        <v>0</v>
      </c>
      <c r="Z147" s="183">
        <v>0</v>
      </c>
      <c r="AA147" s="184">
        <v>0</v>
      </c>
      <c r="AB147" s="183">
        <v>0</v>
      </c>
      <c r="AC147" s="184">
        <v>0</v>
      </c>
      <c r="AD147" s="183">
        <v>0</v>
      </c>
      <c r="AE147" s="184">
        <v>0</v>
      </c>
      <c r="AF147" s="183">
        <v>0</v>
      </c>
      <c r="AG147" s="184">
        <v>0</v>
      </c>
    </row>
    <row r="148" spans="1:33" x14ac:dyDescent="0.15">
      <c r="A148" s="2" t="s">
        <v>57</v>
      </c>
      <c r="B148" s="8"/>
      <c r="C148" s="10" t="s">
        <v>337</v>
      </c>
      <c r="D148" s="183">
        <v>0</v>
      </c>
      <c r="E148" s="184">
        <v>0</v>
      </c>
      <c r="F148" s="183">
        <v>0</v>
      </c>
      <c r="G148" s="184">
        <v>0</v>
      </c>
      <c r="H148" s="183">
        <v>0</v>
      </c>
      <c r="I148" s="184">
        <v>0</v>
      </c>
      <c r="J148" s="183">
        <v>0</v>
      </c>
      <c r="K148" s="184">
        <v>0</v>
      </c>
      <c r="L148" s="183">
        <v>0</v>
      </c>
      <c r="M148" s="184">
        <v>0</v>
      </c>
      <c r="N148" s="183">
        <v>0</v>
      </c>
      <c r="O148" s="184">
        <v>0</v>
      </c>
      <c r="P148" s="183">
        <v>0</v>
      </c>
      <c r="Q148" s="184">
        <v>0</v>
      </c>
      <c r="R148" s="183">
        <v>0</v>
      </c>
      <c r="S148" s="184">
        <v>0</v>
      </c>
      <c r="T148" s="183">
        <v>0</v>
      </c>
      <c r="U148" s="184">
        <v>0</v>
      </c>
      <c r="V148" s="183">
        <v>0</v>
      </c>
      <c r="W148" s="184">
        <v>0</v>
      </c>
      <c r="X148" s="183">
        <v>0</v>
      </c>
      <c r="Y148" s="184">
        <v>0</v>
      </c>
      <c r="Z148" s="183">
        <v>0</v>
      </c>
      <c r="AA148" s="184">
        <v>0</v>
      </c>
      <c r="AB148" s="183">
        <v>0</v>
      </c>
      <c r="AC148" s="184">
        <v>0</v>
      </c>
      <c r="AD148" s="183">
        <v>0</v>
      </c>
      <c r="AE148" s="184">
        <v>0</v>
      </c>
      <c r="AF148" s="183">
        <v>0</v>
      </c>
      <c r="AG148" s="184">
        <v>0</v>
      </c>
    </row>
    <row r="149" spans="1:33" x14ac:dyDescent="0.15">
      <c r="A149" s="2" t="s">
        <v>58</v>
      </c>
      <c r="B149" s="8" t="s">
        <v>47</v>
      </c>
      <c r="C149" s="10" t="s">
        <v>338</v>
      </c>
      <c r="D149" s="183">
        <v>0</v>
      </c>
      <c r="E149" s="184">
        <v>0</v>
      </c>
      <c r="F149" s="183">
        <v>0</v>
      </c>
      <c r="G149" s="184">
        <v>0</v>
      </c>
      <c r="H149" s="183">
        <v>0</v>
      </c>
      <c r="I149" s="184">
        <v>0</v>
      </c>
      <c r="J149" s="183">
        <v>0</v>
      </c>
      <c r="K149" s="184">
        <v>0</v>
      </c>
      <c r="L149" s="183">
        <v>0</v>
      </c>
      <c r="M149" s="184">
        <v>0</v>
      </c>
      <c r="N149" s="183">
        <v>0</v>
      </c>
      <c r="O149" s="184">
        <v>0</v>
      </c>
      <c r="P149" s="183">
        <v>0</v>
      </c>
      <c r="Q149" s="184">
        <v>0</v>
      </c>
      <c r="R149" s="183">
        <v>0</v>
      </c>
      <c r="S149" s="184">
        <v>0</v>
      </c>
      <c r="T149" s="183">
        <v>0</v>
      </c>
      <c r="U149" s="184">
        <v>0</v>
      </c>
      <c r="V149" s="183">
        <v>0</v>
      </c>
      <c r="W149" s="184">
        <v>0</v>
      </c>
      <c r="X149" s="183">
        <v>0</v>
      </c>
      <c r="Y149" s="184">
        <v>0</v>
      </c>
      <c r="Z149" s="183">
        <v>0</v>
      </c>
      <c r="AA149" s="184">
        <v>0</v>
      </c>
      <c r="AB149" s="183">
        <v>0</v>
      </c>
      <c r="AC149" s="184">
        <v>0</v>
      </c>
      <c r="AD149" s="183">
        <v>0</v>
      </c>
      <c r="AE149" s="184">
        <v>0</v>
      </c>
      <c r="AF149" s="183">
        <v>0</v>
      </c>
      <c r="AG149" s="184">
        <v>0</v>
      </c>
    </row>
    <row r="150" spans="1:33" ht="15" thickBot="1" x14ac:dyDescent="0.2">
      <c r="A150" s="12"/>
      <c r="B150" s="13" t="s">
        <v>53</v>
      </c>
      <c r="C150" s="4" t="s">
        <v>339</v>
      </c>
      <c r="D150" s="185">
        <v>0</v>
      </c>
      <c r="E150" s="186">
        <v>0</v>
      </c>
      <c r="F150" s="185">
        <v>0</v>
      </c>
      <c r="G150" s="186">
        <v>0</v>
      </c>
      <c r="H150" s="185">
        <v>0</v>
      </c>
      <c r="I150" s="186">
        <v>0</v>
      </c>
      <c r="J150" s="185">
        <v>0</v>
      </c>
      <c r="K150" s="186">
        <v>0</v>
      </c>
      <c r="L150" s="185">
        <v>0</v>
      </c>
      <c r="M150" s="186">
        <v>0</v>
      </c>
      <c r="N150" s="185">
        <v>0</v>
      </c>
      <c r="O150" s="186">
        <v>0</v>
      </c>
      <c r="P150" s="185">
        <v>0</v>
      </c>
      <c r="Q150" s="186">
        <v>0</v>
      </c>
      <c r="R150" s="185">
        <v>0</v>
      </c>
      <c r="S150" s="186">
        <v>0</v>
      </c>
      <c r="T150" s="185">
        <v>0</v>
      </c>
      <c r="U150" s="186">
        <v>0</v>
      </c>
      <c r="V150" s="185">
        <v>0</v>
      </c>
      <c r="W150" s="186">
        <v>0</v>
      </c>
      <c r="X150" s="185">
        <v>0</v>
      </c>
      <c r="Y150" s="186">
        <v>0</v>
      </c>
      <c r="Z150" s="185">
        <v>0</v>
      </c>
      <c r="AA150" s="186">
        <v>0</v>
      </c>
      <c r="AB150" s="185">
        <v>0</v>
      </c>
      <c r="AC150" s="186">
        <v>0</v>
      </c>
      <c r="AD150" s="185">
        <v>0</v>
      </c>
      <c r="AE150" s="186">
        <v>0</v>
      </c>
      <c r="AF150" s="185">
        <v>0</v>
      </c>
      <c r="AG150" s="186">
        <v>0</v>
      </c>
    </row>
    <row r="151" spans="1:33" ht="16" thickBot="1" x14ac:dyDescent="0.2">
      <c r="A151" s="603" t="s">
        <v>6</v>
      </c>
      <c r="B151" s="599" t="s">
        <v>31</v>
      </c>
      <c r="C151" s="600" t="s">
        <v>303</v>
      </c>
      <c r="D151" s="601">
        <f>SUM(D152:D163)</f>
        <v>0</v>
      </c>
      <c r="E151" s="602">
        <f t="shared" ref="E151:O151" si="137">SUM(E152:E163)</f>
        <v>0</v>
      </c>
      <c r="F151" s="601">
        <f t="shared" si="137"/>
        <v>0</v>
      </c>
      <c r="G151" s="602">
        <f t="shared" si="137"/>
        <v>0</v>
      </c>
      <c r="H151" s="601">
        <f t="shared" si="137"/>
        <v>0</v>
      </c>
      <c r="I151" s="602">
        <f t="shared" si="137"/>
        <v>0</v>
      </c>
      <c r="J151" s="601">
        <f t="shared" si="137"/>
        <v>0</v>
      </c>
      <c r="K151" s="602">
        <f t="shared" si="137"/>
        <v>0</v>
      </c>
      <c r="L151" s="601">
        <f t="shared" si="137"/>
        <v>0</v>
      </c>
      <c r="M151" s="602">
        <f t="shared" si="137"/>
        <v>0</v>
      </c>
      <c r="N151" s="601">
        <f t="shared" si="137"/>
        <v>0</v>
      </c>
      <c r="O151" s="602">
        <f t="shared" si="137"/>
        <v>0</v>
      </c>
      <c r="P151" s="601">
        <f t="shared" ref="P151:S151" si="138">SUM(P152:P163)</f>
        <v>0</v>
      </c>
      <c r="Q151" s="602">
        <f t="shared" si="138"/>
        <v>0</v>
      </c>
      <c r="R151" s="601">
        <f t="shared" si="138"/>
        <v>0</v>
      </c>
      <c r="S151" s="602">
        <f t="shared" si="138"/>
        <v>0</v>
      </c>
      <c r="T151" s="601">
        <f t="shared" ref="T151:W151" si="139">SUM(T152:T163)</f>
        <v>0</v>
      </c>
      <c r="U151" s="602">
        <f t="shared" si="139"/>
        <v>0</v>
      </c>
      <c r="V151" s="601">
        <f t="shared" si="139"/>
        <v>0</v>
      </c>
      <c r="W151" s="602">
        <f t="shared" si="139"/>
        <v>0</v>
      </c>
      <c r="X151" s="601">
        <f t="shared" ref="X151:AG151" si="140">SUM(X152:X163)</f>
        <v>0</v>
      </c>
      <c r="Y151" s="602">
        <f t="shared" si="140"/>
        <v>0</v>
      </c>
      <c r="Z151" s="601">
        <f t="shared" si="140"/>
        <v>0</v>
      </c>
      <c r="AA151" s="602">
        <f t="shared" si="140"/>
        <v>0</v>
      </c>
      <c r="AB151" s="601">
        <f t="shared" si="140"/>
        <v>0</v>
      </c>
      <c r="AC151" s="602">
        <f t="shared" si="140"/>
        <v>0</v>
      </c>
      <c r="AD151" s="601">
        <f t="shared" si="140"/>
        <v>0</v>
      </c>
      <c r="AE151" s="602">
        <f t="shared" si="140"/>
        <v>0</v>
      </c>
      <c r="AF151" s="601">
        <f t="shared" si="140"/>
        <v>0</v>
      </c>
      <c r="AG151" s="602">
        <f t="shared" si="140"/>
        <v>0</v>
      </c>
    </row>
    <row r="152" spans="1:33" ht="15" x14ac:dyDescent="0.15">
      <c r="A152" s="17" t="s">
        <v>46</v>
      </c>
      <c r="B152" s="8" t="s">
        <v>47</v>
      </c>
      <c r="C152" s="10" t="s">
        <v>344</v>
      </c>
      <c r="D152" s="183">
        <v>0</v>
      </c>
      <c r="E152" s="184">
        <v>0</v>
      </c>
      <c r="F152" s="183">
        <v>0</v>
      </c>
      <c r="G152" s="184">
        <v>0</v>
      </c>
      <c r="H152" s="183">
        <v>0</v>
      </c>
      <c r="I152" s="184">
        <v>0</v>
      </c>
      <c r="J152" s="183">
        <v>0</v>
      </c>
      <c r="K152" s="184">
        <v>0</v>
      </c>
      <c r="L152" s="183">
        <v>0</v>
      </c>
      <c r="M152" s="184">
        <v>0</v>
      </c>
      <c r="N152" s="183">
        <v>0</v>
      </c>
      <c r="O152" s="184">
        <v>0</v>
      </c>
      <c r="P152" s="183">
        <v>0</v>
      </c>
      <c r="Q152" s="184">
        <v>0</v>
      </c>
      <c r="R152" s="183">
        <v>0</v>
      </c>
      <c r="S152" s="184">
        <v>0</v>
      </c>
      <c r="T152" s="183">
        <v>0</v>
      </c>
      <c r="U152" s="184">
        <v>0</v>
      </c>
      <c r="V152" s="183">
        <v>0</v>
      </c>
      <c r="W152" s="184">
        <v>0</v>
      </c>
      <c r="X152" s="183">
        <v>0</v>
      </c>
      <c r="Y152" s="184">
        <v>0</v>
      </c>
      <c r="Z152" s="183">
        <v>0</v>
      </c>
      <c r="AA152" s="184">
        <v>0</v>
      </c>
      <c r="AB152" s="183">
        <v>0</v>
      </c>
      <c r="AC152" s="184">
        <v>0</v>
      </c>
      <c r="AD152" s="183">
        <v>0</v>
      </c>
      <c r="AE152" s="184">
        <v>0</v>
      </c>
      <c r="AF152" s="183">
        <v>0</v>
      </c>
      <c r="AG152" s="184">
        <v>0</v>
      </c>
    </row>
    <row r="153" spans="1:33" x14ac:dyDescent="0.15">
      <c r="A153" s="2"/>
      <c r="B153" s="8" t="s">
        <v>14</v>
      </c>
      <c r="C153" s="10" t="s">
        <v>345</v>
      </c>
      <c r="D153" s="183">
        <v>0</v>
      </c>
      <c r="E153" s="184">
        <v>0</v>
      </c>
      <c r="F153" s="183">
        <v>0</v>
      </c>
      <c r="G153" s="184">
        <v>0</v>
      </c>
      <c r="H153" s="183">
        <v>0</v>
      </c>
      <c r="I153" s="184">
        <v>0</v>
      </c>
      <c r="J153" s="183">
        <v>0</v>
      </c>
      <c r="K153" s="184">
        <v>0</v>
      </c>
      <c r="L153" s="183">
        <v>0</v>
      </c>
      <c r="M153" s="184">
        <v>0</v>
      </c>
      <c r="N153" s="183">
        <v>0</v>
      </c>
      <c r="O153" s="184">
        <v>0</v>
      </c>
      <c r="P153" s="183">
        <v>0</v>
      </c>
      <c r="Q153" s="184">
        <v>0</v>
      </c>
      <c r="R153" s="183">
        <v>0</v>
      </c>
      <c r="S153" s="184">
        <v>0</v>
      </c>
      <c r="T153" s="183">
        <v>0</v>
      </c>
      <c r="U153" s="184">
        <v>0</v>
      </c>
      <c r="V153" s="183">
        <v>0</v>
      </c>
      <c r="W153" s="184">
        <v>0</v>
      </c>
      <c r="X153" s="183">
        <v>0</v>
      </c>
      <c r="Y153" s="184">
        <v>0</v>
      </c>
      <c r="Z153" s="183">
        <v>0</v>
      </c>
      <c r="AA153" s="184">
        <v>0</v>
      </c>
      <c r="AB153" s="183">
        <v>0</v>
      </c>
      <c r="AC153" s="184">
        <v>0</v>
      </c>
      <c r="AD153" s="183">
        <v>0</v>
      </c>
      <c r="AE153" s="184">
        <v>0</v>
      </c>
      <c r="AF153" s="183">
        <v>0</v>
      </c>
      <c r="AG153" s="184">
        <v>0</v>
      </c>
    </row>
    <row r="154" spans="1:33" x14ac:dyDescent="0.15">
      <c r="A154" s="2"/>
      <c r="B154" s="8" t="s">
        <v>48</v>
      </c>
      <c r="C154" s="10" t="s">
        <v>346</v>
      </c>
      <c r="D154" s="183">
        <v>0</v>
      </c>
      <c r="E154" s="184">
        <v>0</v>
      </c>
      <c r="F154" s="183">
        <v>0</v>
      </c>
      <c r="G154" s="184">
        <v>0</v>
      </c>
      <c r="H154" s="183">
        <v>0</v>
      </c>
      <c r="I154" s="184">
        <v>0</v>
      </c>
      <c r="J154" s="183">
        <v>0</v>
      </c>
      <c r="K154" s="184">
        <v>0</v>
      </c>
      <c r="L154" s="183">
        <v>0</v>
      </c>
      <c r="M154" s="184">
        <v>0</v>
      </c>
      <c r="N154" s="183">
        <v>0</v>
      </c>
      <c r="O154" s="184">
        <v>0</v>
      </c>
      <c r="P154" s="183">
        <v>0</v>
      </c>
      <c r="Q154" s="184">
        <v>0</v>
      </c>
      <c r="R154" s="183">
        <v>0</v>
      </c>
      <c r="S154" s="184">
        <v>0</v>
      </c>
      <c r="T154" s="183">
        <v>0</v>
      </c>
      <c r="U154" s="184">
        <v>0</v>
      </c>
      <c r="V154" s="183">
        <v>0</v>
      </c>
      <c r="W154" s="184">
        <v>0</v>
      </c>
      <c r="X154" s="183">
        <v>0</v>
      </c>
      <c r="Y154" s="184">
        <v>0</v>
      </c>
      <c r="Z154" s="183">
        <v>0</v>
      </c>
      <c r="AA154" s="184">
        <v>0</v>
      </c>
      <c r="AB154" s="183">
        <v>0</v>
      </c>
      <c r="AC154" s="184">
        <v>0</v>
      </c>
      <c r="AD154" s="183">
        <v>0</v>
      </c>
      <c r="AE154" s="184">
        <v>0</v>
      </c>
      <c r="AF154" s="183">
        <v>0</v>
      </c>
      <c r="AG154" s="184">
        <v>0</v>
      </c>
    </row>
    <row r="155" spans="1:33" x14ac:dyDescent="0.15">
      <c r="A155" s="2"/>
      <c r="B155" s="8" t="s">
        <v>49</v>
      </c>
      <c r="C155" s="10" t="s">
        <v>347</v>
      </c>
      <c r="D155" s="183">
        <v>0</v>
      </c>
      <c r="E155" s="184">
        <v>0</v>
      </c>
      <c r="F155" s="183">
        <v>0</v>
      </c>
      <c r="G155" s="184">
        <v>0</v>
      </c>
      <c r="H155" s="183">
        <v>0</v>
      </c>
      <c r="I155" s="184">
        <v>0</v>
      </c>
      <c r="J155" s="183">
        <v>0</v>
      </c>
      <c r="K155" s="184">
        <v>0</v>
      </c>
      <c r="L155" s="183">
        <v>0</v>
      </c>
      <c r="M155" s="184">
        <v>0</v>
      </c>
      <c r="N155" s="183">
        <v>0</v>
      </c>
      <c r="O155" s="184">
        <v>0</v>
      </c>
      <c r="P155" s="183">
        <v>0</v>
      </c>
      <c r="Q155" s="184">
        <v>0</v>
      </c>
      <c r="R155" s="183">
        <v>0</v>
      </c>
      <c r="S155" s="184">
        <v>0</v>
      </c>
      <c r="T155" s="183">
        <v>0</v>
      </c>
      <c r="U155" s="184">
        <v>0</v>
      </c>
      <c r="V155" s="183">
        <v>0</v>
      </c>
      <c r="W155" s="184">
        <v>0</v>
      </c>
      <c r="X155" s="183">
        <v>0</v>
      </c>
      <c r="Y155" s="184">
        <v>0</v>
      </c>
      <c r="Z155" s="183">
        <v>0</v>
      </c>
      <c r="AA155" s="184">
        <v>0</v>
      </c>
      <c r="AB155" s="183">
        <v>0</v>
      </c>
      <c r="AC155" s="184">
        <v>0</v>
      </c>
      <c r="AD155" s="183">
        <v>0</v>
      </c>
      <c r="AE155" s="184">
        <v>0</v>
      </c>
      <c r="AF155" s="183">
        <v>0</v>
      </c>
      <c r="AG155" s="184">
        <v>0</v>
      </c>
    </row>
    <row r="156" spans="1:33" x14ac:dyDescent="0.15">
      <c r="A156" s="2"/>
      <c r="B156" s="8" t="s">
        <v>45</v>
      </c>
      <c r="C156" s="10" t="s">
        <v>348</v>
      </c>
      <c r="D156" s="183">
        <v>0</v>
      </c>
      <c r="E156" s="184">
        <v>0</v>
      </c>
      <c r="F156" s="183">
        <v>0</v>
      </c>
      <c r="G156" s="184">
        <v>0</v>
      </c>
      <c r="H156" s="183">
        <v>0</v>
      </c>
      <c r="I156" s="184">
        <v>0</v>
      </c>
      <c r="J156" s="183">
        <v>0</v>
      </c>
      <c r="K156" s="184">
        <v>0</v>
      </c>
      <c r="L156" s="183">
        <v>0</v>
      </c>
      <c r="M156" s="184">
        <v>0</v>
      </c>
      <c r="N156" s="183">
        <v>0</v>
      </c>
      <c r="O156" s="184">
        <v>0</v>
      </c>
      <c r="P156" s="183">
        <v>0</v>
      </c>
      <c r="Q156" s="184">
        <v>0</v>
      </c>
      <c r="R156" s="183">
        <v>0</v>
      </c>
      <c r="S156" s="184">
        <v>0</v>
      </c>
      <c r="T156" s="183">
        <v>0</v>
      </c>
      <c r="U156" s="184">
        <v>0</v>
      </c>
      <c r="V156" s="183">
        <v>0</v>
      </c>
      <c r="W156" s="184">
        <v>0</v>
      </c>
      <c r="X156" s="183">
        <v>0</v>
      </c>
      <c r="Y156" s="184">
        <v>0</v>
      </c>
      <c r="Z156" s="183">
        <v>0</v>
      </c>
      <c r="AA156" s="184">
        <v>0</v>
      </c>
      <c r="AB156" s="183">
        <v>0</v>
      </c>
      <c r="AC156" s="184">
        <v>0</v>
      </c>
      <c r="AD156" s="183">
        <v>0</v>
      </c>
      <c r="AE156" s="184">
        <v>0</v>
      </c>
      <c r="AF156" s="183">
        <v>0</v>
      </c>
      <c r="AG156" s="184">
        <v>0</v>
      </c>
    </row>
    <row r="157" spans="1:33" x14ac:dyDescent="0.15">
      <c r="A157" s="2" t="s">
        <v>50</v>
      </c>
      <c r="B157" s="8" t="s">
        <v>47</v>
      </c>
      <c r="C157" s="10" t="s">
        <v>349</v>
      </c>
      <c r="D157" s="183">
        <v>0</v>
      </c>
      <c r="E157" s="184">
        <v>0</v>
      </c>
      <c r="F157" s="183">
        <v>0</v>
      </c>
      <c r="G157" s="184">
        <v>0</v>
      </c>
      <c r="H157" s="183">
        <v>0</v>
      </c>
      <c r="I157" s="184">
        <v>0</v>
      </c>
      <c r="J157" s="183">
        <v>0</v>
      </c>
      <c r="K157" s="184">
        <v>0</v>
      </c>
      <c r="L157" s="183">
        <v>0</v>
      </c>
      <c r="M157" s="184">
        <v>0</v>
      </c>
      <c r="N157" s="183">
        <v>0</v>
      </c>
      <c r="O157" s="184">
        <v>0</v>
      </c>
      <c r="P157" s="183">
        <v>0</v>
      </c>
      <c r="Q157" s="184">
        <v>0</v>
      </c>
      <c r="R157" s="183">
        <v>0</v>
      </c>
      <c r="S157" s="184">
        <v>0</v>
      </c>
      <c r="T157" s="183">
        <v>0</v>
      </c>
      <c r="U157" s="184">
        <v>0</v>
      </c>
      <c r="V157" s="183">
        <v>0</v>
      </c>
      <c r="W157" s="184">
        <v>0</v>
      </c>
      <c r="X157" s="183">
        <v>0</v>
      </c>
      <c r="Y157" s="184">
        <v>0</v>
      </c>
      <c r="Z157" s="183">
        <v>0</v>
      </c>
      <c r="AA157" s="184">
        <v>0</v>
      </c>
      <c r="AB157" s="183">
        <v>0</v>
      </c>
      <c r="AC157" s="184">
        <v>0</v>
      </c>
      <c r="AD157" s="183">
        <v>0</v>
      </c>
      <c r="AE157" s="184">
        <v>0</v>
      </c>
      <c r="AF157" s="183">
        <v>0</v>
      </c>
      <c r="AG157" s="184">
        <v>0</v>
      </c>
    </row>
    <row r="158" spans="1:33" x14ac:dyDescent="0.15">
      <c r="A158" s="2"/>
      <c r="B158" s="8" t="s">
        <v>14</v>
      </c>
      <c r="C158" s="10" t="s">
        <v>464</v>
      </c>
      <c r="D158" s="183">
        <v>0</v>
      </c>
      <c r="E158" s="184">
        <v>0</v>
      </c>
      <c r="F158" s="183">
        <v>0</v>
      </c>
      <c r="G158" s="184">
        <v>0</v>
      </c>
      <c r="H158" s="183">
        <v>0</v>
      </c>
      <c r="I158" s="184">
        <v>0</v>
      </c>
      <c r="J158" s="183">
        <v>0</v>
      </c>
      <c r="K158" s="184">
        <v>0</v>
      </c>
      <c r="L158" s="183">
        <v>0</v>
      </c>
      <c r="M158" s="184">
        <v>0</v>
      </c>
      <c r="N158" s="183">
        <v>0</v>
      </c>
      <c r="O158" s="184">
        <v>0</v>
      </c>
      <c r="P158" s="183">
        <v>0</v>
      </c>
      <c r="Q158" s="184">
        <v>0</v>
      </c>
      <c r="R158" s="183">
        <v>0</v>
      </c>
      <c r="S158" s="184">
        <v>0</v>
      </c>
      <c r="T158" s="183">
        <v>0</v>
      </c>
      <c r="U158" s="184">
        <v>0</v>
      </c>
      <c r="V158" s="183">
        <v>0</v>
      </c>
      <c r="W158" s="184">
        <v>0</v>
      </c>
      <c r="X158" s="183">
        <v>0</v>
      </c>
      <c r="Y158" s="184">
        <v>0</v>
      </c>
      <c r="Z158" s="183">
        <v>0</v>
      </c>
      <c r="AA158" s="184">
        <v>0</v>
      </c>
      <c r="AB158" s="183">
        <v>0</v>
      </c>
      <c r="AC158" s="184">
        <v>0</v>
      </c>
      <c r="AD158" s="183">
        <v>0</v>
      </c>
      <c r="AE158" s="184">
        <v>0</v>
      </c>
      <c r="AF158" s="183">
        <v>0</v>
      </c>
      <c r="AG158" s="184">
        <v>0</v>
      </c>
    </row>
    <row r="159" spans="1:33" x14ac:dyDescent="0.15">
      <c r="A159" s="2"/>
      <c r="B159" s="8" t="s">
        <v>51</v>
      </c>
      <c r="C159" s="10" t="s">
        <v>350</v>
      </c>
      <c r="D159" s="183">
        <v>0</v>
      </c>
      <c r="E159" s="184">
        <v>0</v>
      </c>
      <c r="F159" s="183">
        <v>0</v>
      </c>
      <c r="G159" s="184">
        <v>0</v>
      </c>
      <c r="H159" s="183">
        <v>0</v>
      </c>
      <c r="I159" s="184">
        <v>0</v>
      </c>
      <c r="J159" s="183">
        <v>0</v>
      </c>
      <c r="K159" s="184">
        <v>0</v>
      </c>
      <c r="L159" s="183">
        <v>0</v>
      </c>
      <c r="M159" s="184">
        <v>0</v>
      </c>
      <c r="N159" s="183">
        <v>0</v>
      </c>
      <c r="O159" s="184">
        <v>0</v>
      </c>
      <c r="P159" s="183">
        <v>0</v>
      </c>
      <c r="Q159" s="184">
        <v>0</v>
      </c>
      <c r="R159" s="183">
        <v>0</v>
      </c>
      <c r="S159" s="184">
        <v>0</v>
      </c>
      <c r="T159" s="183">
        <v>0</v>
      </c>
      <c r="U159" s="184">
        <v>0</v>
      </c>
      <c r="V159" s="183">
        <v>0</v>
      </c>
      <c r="W159" s="184">
        <v>0</v>
      </c>
      <c r="X159" s="183">
        <v>0</v>
      </c>
      <c r="Y159" s="184">
        <v>0</v>
      </c>
      <c r="Z159" s="183">
        <v>0</v>
      </c>
      <c r="AA159" s="184">
        <v>0</v>
      </c>
      <c r="AB159" s="183">
        <v>0</v>
      </c>
      <c r="AC159" s="184">
        <v>0</v>
      </c>
      <c r="AD159" s="183">
        <v>0</v>
      </c>
      <c r="AE159" s="184">
        <v>0</v>
      </c>
      <c r="AF159" s="183">
        <v>0</v>
      </c>
      <c r="AG159" s="184">
        <v>0</v>
      </c>
    </row>
    <row r="160" spans="1:33" x14ac:dyDescent="0.15">
      <c r="A160" s="2"/>
      <c r="B160" s="8" t="s">
        <v>52</v>
      </c>
      <c r="C160" s="10" t="s">
        <v>351</v>
      </c>
      <c r="D160" s="183">
        <v>0</v>
      </c>
      <c r="E160" s="184">
        <v>0</v>
      </c>
      <c r="F160" s="183">
        <v>0</v>
      </c>
      <c r="G160" s="184">
        <v>0</v>
      </c>
      <c r="H160" s="183">
        <v>0</v>
      </c>
      <c r="I160" s="184">
        <v>0</v>
      </c>
      <c r="J160" s="183">
        <v>0</v>
      </c>
      <c r="K160" s="184">
        <v>0</v>
      </c>
      <c r="L160" s="183">
        <v>0</v>
      </c>
      <c r="M160" s="184">
        <v>0</v>
      </c>
      <c r="N160" s="183">
        <v>0</v>
      </c>
      <c r="O160" s="184">
        <v>0</v>
      </c>
      <c r="P160" s="183">
        <v>0</v>
      </c>
      <c r="Q160" s="184">
        <v>0</v>
      </c>
      <c r="R160" s="183">
        <v>0</v>
      </c>
      <c r="S160" s="184">
        <v>0</v>
      </c>
      <c r="T160" s="183">
        <v>0</v>
      </c>
      <c r="U160" s="184">
        <v>0</v>
      </c>
      <c r="V160" s="183">
        <v>0</v>
      </c>
      <c r="W160" s="184">
        <v>0</v>
      </c>
      <c r="X160" s="183">
        <v>0</v>
      </c>
      <c r="Y160" s="184">
        <v>0</v>
      </c>
      <c r="Z160" s="183">
        <v>0</v>
      </c>
      <c r="AA160" s="184">
        <v>0</v>
      </c>
      <c r="AB160" s="183">
        <v>0</v>
      </c>
      <c r="AC160" s="184">
        <v>0</v>
      </c>
      <c r="AD160" s="183">
        <v>0</v>
      </c>
      <c r="AE160" s="184">
        <v>0</v>
      </c>
      <c r="AF160" s="183">
        <v>0</v>
      </c>
      <c r="AG160" s="184">
        <v>0</v>
      </c>
    </row>
    <row r="161" spans="1:33" x14ac:dyDescent="0.15">
      <c r="A161" s="2"/>
      <c r="B161" s="8" t="s">
        <v>53</v>
      </c>
      <c r="C161" s="10" t="s">
        <v>352</v>
      </c>
      <c r="D161" s="183">
        <v>0</v>
      </c>
      <c r="E161" s="184">
        <v>0</v>
      </c>
      <c r="F161" s="183">
        <v>0</v>
      </c>
      <c r="G161" s="184">
        <v>0</v>
      </c>
      <c r="H161" s="183">
        <v>0</v>
      </c>
      <c r="I161" s="184">
        <v>0</v>
      </c>
      <c r="J161" s="183">
        <v>0</v>
      </c>
      <c r="K161" s="184">
        <v>0</v>
      </c>
      <c r="L161" s="183">
        <v>0</v>
      </c>
      <c r="M161" s="184">
        <v>0</v>
      </c>
      <c r="N161" s="183">
        <v>0</v>
      </c>
      <c r="O161" s="184">
        <v>0</v>
      </c>
      <c r="P161" s="183">
        <v>0</v>
      </c>
      <c r="Q161" s="184">
        <v>0</v>
      </c>
      <c r="R161" s="183">
        <v>0</v>
      </c>
      <c r="S161" s="184">
        <v>0</v>
      </c>
      <c r="T161" s="183">
        <v>0</v>
      </c>
      <c r="U161" s="184">
        <v>0</v>
      </c>
      <c r="V161" s="183">
        <v>0</v>
      </c>
      <c r="W161" s="184">
        <v>0</v>
      </c>
      <c r="X161" s="183">
        <v>0</v>
      </c>
      <c r="Y161" s="184">
        <v>0</v>
      </c>
      <c r="Z161" s="183">
        <v>0</v>
      </c>
      <c r="AA161" s="184">
        <v>0</v>
      </c>
      <c r="AB161" s="183">
        <v>0</v>
      </c>
      <c r="AC161" s="184">
        <v>0</v>
      </c>
      <c r="AD161" s="183">
        <v>0</v>
      </c>
      <c r="AE161" s="184">
        <v>0</v>
      </c>
      <c r="AF161" s="183">
        <v>0</v>
      </c>
      <c r="AG161" s="184">
        <v>0</v>
      </c>
    </row>
    <row r="162" spans="1:33" x14ac:dyDescent="0.15">
      <c r="A162" s="2" t="s">
        <v>54</v>
      </c>
      <c r="B162" s="8" t="s">
        <v>53</v>
      </c>
      <c r="C162" s="10" t="s">
        <v>353</v>
      </c>
      <c r="D162" s="183">
        <v>0</v>
      </c>
      <c r="E162" s="184">
        <v>0</v>
      </c>
      <c r="F162" s="183">
        <v>0</v>
      </c>
      <c r="G162" s="184">
        <v>0</v>
      </c>
      <c r="H162" s="183">
        <v>0</v>
      </c>
      <c r="I162" s="184">
        <v>0</v>
      </c>
      <c r="J162" s="183">
        <v>0</v>
      </c>
      <c r="K162" s="184">
        <v>0</v>
      </c>
      <c r="L162" s="183">
        <v>0</v>
      </c>
      <c r="M162" s="184">
        <v>0</v>
      </c>
      <c r="N162" s="183">
        <v>0</v>
      </c>
      <c r="O162" s="184">
        <v>0</v>
      </c>
      <c r="P162" s="183">
        <v>0</v>
      </c>
      <c r="Q162" s="184">
        <v>0</v>
      </c>
      <c r="R162" s="183">
        <v>0</v>
      </c>
      <c r="S162" s="184">
        <v>0</v>
      </c>
      <c r="T162" s="183">
        <v>0</v>
      </c>
      <c r="U162" s="184">
        <v>0</v>
      </c>
      <c r="V162" s="183">
        <v>0</v>
      </c>
      <c r="W162" s="184">
        <v>0</v>
      </c>
      <c r="X162" s="183">
        <v>0</v>
      </c>
      <c r="Y162" s="184">
        <v>0</v>
      </c>
      <c r="Z162" s="183">
        <v>0</v>
      </c>
      <c r="AA162" s="184">
        <v>0</v>
      </c>
      <c r="AB162" s="183">
        <v>0</v>
      </c>
      <c r="AC162" s="184">
        <v>0</v>
      </c>
      <c r="AD162" s="183">
        <v>0</v>
      </c>
      <c r="AE162" s="184">
        <v>0</v>
      </c>
      <c r="AF162" s="183">
        <v>0</v>
      </c>
      <c r="AG162" s="184">
        <v>0</v>
      </c>
    </row>
    <row r="163" spans="1:33" ht="15" thickBot="1" x14ac:dyDescent="0.2">
      <c r="A163" s="12" t="s">
        <v>55</v>
      </c>
      <c r="B163" s="13" t="s">
        <v>53</v>
      </c>
      <c r="C163" s="4" t="s">
        <v>354</v>
      </c>
      <c r="D163" s="185">
        <v>0</v>
      </c>
      <c r="E163" s="186">
        <v>0</v>
      </c>
      <c r="F163" s="185">
        <v>0</v>
      </c>
      <c r="G163" s="186">
        <v>0</v>
      </c>
      <c r="H163" s="185">
        <v>0</v>
      </c>
      <c r="I163" s="186">
        <v>0</v>
      </c>
      <c r="J163" s="185">
        <v>0</v>
      </c>
      <c r="K163" s="186">
        <v>0</v>
      </c>
      <c r="L163" s="185">
        <v>0</v>
      </c>
      <c r="M163" s="186">
        <v>0</v>
      </c>
      <c r="N163" s="185">
        <v>0</v>
      </c>
      <c r="O163" s="186">
        <v>0</v>
      </c>
      <c r="P163" s="185">
        <v>0</v>
      </c>
      <c r="Q163" s="186">
        <v>0</v>
      </c>
      <c r="R163" s="185">
        <v>0</v>
      </c>
      <c r="S163" s="186">
        <v>0</v>
      </c>
      <c r="T163" s="185">
        <v>0</v>
      </c>
      <c r="U163" s="186">
        <v>0</v>
      </c>
      <c r="V163" s="185">
        <v>0</v>
      </c>
      <c r="W163" s="186">
        <v>0</v>
      </c>
      <c r="X163" s="185">
        <v>0</v>
      </c>
      <c r="Y163" s="186">
        <v>0</v>
      </c>
      <c r="Z163" s="185">
        <v>0</v>
      </c>
      <c r="AA163" s="186">
        <v>0</v>
      </c>
      <c r="AB163" s="185">
        <v>0</v>
      </c>
      <c r="AC163" s="186">
        <v>0</v>
      </c>
      <c r="AD163" s="185">
        <v>0</v>
      </c>
      <c r="AE163" s="186">
        <v>0</v>
      </c>
      <c r="AF163" s="185">
        <v>0</v>
      </c>
      <c r="AG163" s="186">
        <v>0</v>
      </c>
    </row>
    <row r="164" spans="1:33" ht="15" x14ac:dyDescent="0.15">
      <c r="A164" s="564" t="s">
        <v>459</v>
      </c>
      <c r="B164" s="571" t="s">
        <v>31</v>
      </c>
      <c r="C164" s="604" t="s">
        <v>488</v>
      </c>
      <c r="D164" s="575">
        <f>SUM(D165:D168)</f>
        <v>0</v>
      </c>
      <c r="E164" s="576">
        <f>SUM(E165:E168)</f>
        <v>0</v>
      </c>
      <c r="F164" s="575">
        <f t="shared" ref="F164" si="141">SUM(F165:F168)</f>
        <v>0</v>
      </c>
      <c r="G164" s="576">
        <f t="shared" ref="G164" si="142">SUM(G165:G168)</f>
        <v>0</v>
      </c>
      <c r="H164" s="575">
        <f t="shared" ref="H164" si="143">SUM(H165:H168)</f>
        <v>0</v>
      </c>
      <c r="I164" s="576">
        <f t="shared" ref="I164" si="144">SUM(I165:I168)</f>
        <v>0</v>
      </c>
      <c r="J164" s="575">
        <f t="shared" ref="J164" si="145">SUM(J165:J168)</f>
        <v>0</v>
      </c>
      <c r="K164" s="576">
        <f t="shared" ref="K164" si="146">SUM(K165:K168)</f>
        <v>0</v>
      </c>
      <c r="L164" s="575">
        <f t="shared" ref="L164" si="147">SUM(L165:L168)</f>
        <v>0</v>
      </c>
      <c r="M164" s="576">
        <f t="shared" ref="M164" si="148">SUM(M165:M168)</f>
        <v>0</v>
      </c>
      <c r="N164" s="575">
        <f t="shared" ref="N164" si="149">SUM(N165:N168)</f>
        <v>0</v>
      </c>
      <c r="O164" s="576">
        <f t="shared" ref="O164" si="150">SUM(O165:O168)</f>
        <v>0</v>
      </c>
      <c r="P164" s="575">
        <f t="shared" ref="P164" si="151">SUM(P165:P168)</f>
        <v>0</v>
      </c>
      <c r="Q164" s="576">
        <f t="shared" ref="Q164" si="152">SUM(Q165:Q168)</f>
        <v>0</v>
      </c>
      <c r="R164" s="575">
        <f t="shared" ref="R164" si="153">SUM(R165:R168)</f>
        <v>0</v>
      </c>
      <c r="S164" s="576">
        <f t="shared" ref="S164" si="154">SUM(S165:S168)</f>
        <v>0</v>
      </c>
      <c r="T164" s="575">
        <f t="shared" ref="T164" si="155">SUM(T165:T168)</f>
        <v>0</v>
      </c>
      <c r="U164" s="576">
        <f t="shared" ref="U164" si="156">SUM(U165:U168)</f>
        <v>0</v>
      </c>
      <c r="V164" s="575">
        <f t="shared" ref="V164" si="157">SUM(V165:V168)</f>
        <v>0</v>
      </c>
      <c r="W164" s="576">
        <f t="shared" ref="W164" si="158">SUM(W165:W168)</f>
        <v>0</v>
      </c>
      <c r="X164" s="575">
        <f t="shared" ref="X164" si="159">SUM(X165:X168)</f>
        <v>0</v>
      </c>
      <c r="Y164" s="576">
        <f t="shared" ref="Y164" si="160">SUM(Y165:Y168)</f>
        <v>0</v>
      </c>
      <c r="Z164" s="575">
        <f t="shared" ref="Z164" si="161">SUM(Z165:Z168)</f>
        <v>0</v>
      </c>
      <c r="AA164" s="576">
        <f t="shared" ref="AA164" si="162">SUM(AA165:AA168)</f>
        <v>0</v>
      </c>
      <c r="AB164" s="575">
        <f t="shared" ref="AB164" si="163">SUM(AB165:AB168)</f>
        <v>0</v>
      </c>
      <c r="AC164" s="576">
        <f t="shared" ref="AC164" si="164">SUM(AC165:AC168)</f>
        <v>0</v>
      </c>
      <c r="AD164" s="575">
        <f t="shared" ref="AD164" si="165">SUM(AD165:AD168)</f>
        <v>0</v>
      </c>
      <c r="AE164" s="576">
        <f t="shared" ref="AE164" si="166">SUM(AE165:AE168)</f>
        <v>0</v>
      </c>
      <c r="AF164" s="575">
        <f t="shared" ref="AF164" si="167">SUM(AF165:AF168)</f>
        <v>0</v>
      </c>
      <c r="AG164" s="576">
        <f t="shared" ref="AG164" si="168">SUM(AG165:AG168)</f>
        <v>0</v>
      </c>
    </row>
    <row r="165" spans="1:33" x14ac:dyDescent="0.15">
      <c r="A165" s="561"/>
      <c r="B165" s="569"/>
      <c r="C165" s="570" t="s">
        <v>489</v>
      </c>
      <c r="E165" s="587"/>
      <c r="G165" s="587"/>
      <c r="I165" s="587"/>
      <c r="K165" s="587"/>
      <c r="M165" s="587"/>
      <c r="O165" s="587"/>
      <c r="Q165" s="587"/>
      <c r="S165" s="587"/>
      <c r="U165" s="587"/>
      <c r="W165" s="587"/>
      <c r="Y165" s="587"/>
      <c r="AA165" s="587"/>
      <c r="AC165" s="587"/>
      <c r="AE165" s="587"/>
      <c r="AG165" s="587"/>
    </row>
    <row r="166" spans="1:33" x14ac:dyDescent="0.15">
      <c r="A166" s="561"/>
      <c r="B166" s="569"/>
      <c r="C166" s="570" t="s">
        <v>490</v>
      </c>
      <c r="E166" s="587"/>
      <c r="G166" s="587"/>
      <c r="I166" s="587"/>
      <c r="K166" s="587"/>
      <c r="M166" s="587"/>
      <c r="O166" s="587"/>
      <c r="Q166" s="587"/>
      <c r="S166" s="587"/>
      <c r="U166" s="587"/>
      <c r="W166" s="587"/>
      <c r="Y166" s="587"/>
      <c r="AA166" s="587"/>
      <c r="AC166" s="587"/>
      <c r="AE166" s="587"/>
      <c r="AG166" s="587"/>
    </row>
    <row r="167" spans="1:33" x14ac:dyDescent="0.15">
      <c r="A167" s="561"/>
      <c r="B167" s="569"/>
      <c r="C167" s="570" t="s">
        <v>491</v>
      </c>
      <c r="E167" s="587"/>
      <c r="G167" s="587"/>
      <c r="I167" s="587"/>
      <c r="K167" s="587"/>
      <c r="M167" s="587"/>
      <c r="O167" s="587"/>
      <c r="Q167" s="587"/>
      <c r="S167" s="587"/>
      <c r="U167" s="587"/>
      <c r="W167" s="587"/>
      <c r="Y167" s="587"/>
      <c r="AA167" s="587"/>
      <c r="AC167" s="587"/>
      <c r="AE167" s="587"/>
      <c r="AG167" s="587"/>
    </row>
    <row r="168" spans="1:33" ht="15" thickBot="1" x14ac:dyDescent="0.2">
      <c r="A168" s="577"/>
      <c r="B168" s="578"/>
      <c r="C168" s="588" t="s">
        <v>492</v>
      </c>
      <c r="D168" s="589"/>
      <c r="E168" s="590"/>
      <c r="F168" s="589"/>
      <c r="G168" s="590"/>
      <c r="H168" s="589"/>
      <c r="I168" s="590"/>
      <c r="J168" s="589"/>
      <c r="K168" s="590"/>
      <c r="L168" s="589"/>
      <c r="M168" s="590"/>
      <c r="N168" s="589"/>
      <c r="O168" s="590"/>
      <c r="P168" s="589"/>
      <c r="Q168" s="590"/>
      <c r="R168" s="589"/>
      <c r="S168" s="590"/>
      <c r="T168" s="589"/>
      <c r="U168" s="590"/>
      <c r="V168" s="589"/>
      <c r="W168" s="590"/>
      <c r="X168" s="589"/>
      <c r="Y168" s="590"/>
      <c r="Z168" s="589"/>
      <c r="AA168" s="590"/>
      <c r="AB168" s="589"/>
      <c r="AC168" s="590"/>
      <c r="AD168" s="589"/>
      <c r="AE168" s="590"/>
      <c r="AF168" s="589"/>
      <c r="AG168" s="590"/>
    </row>
    <row r="169" spans="1:33" ht="15" thickBot="1" x14ac:dyDescent="0.2">
      <c r="A169" s="38" t="s">
        <v>467</v>
      </c>
    </row>
    <row r="170" spans="1:33" ht="15" x14ac:dyDescent="0.15">
      <c r="A170" s="564" t="s">
        <v>446</v>
      </c>
      <c r="B170" s="567" t="s">
        <v>31</v>
      </c>
      <c r="C170" s="568" t="s">
        <v>493</v>
      </c>
      <c r="D170" s="575">
        <f>SUM(D171:D174)</f>
        <v>0</v>
      </c>
      <c r="E170" s="576">
        <f>SUM(E171:E174)</f>
        <v>0</v>
      </c>
      <c r="F170" s="575">
        <f t="shared" ref="F170" si="169">SUM(F171:F174)</f>
        <v>0</v>
      </c>
      <c r="G170" s="576">
        <f t="shared" ref="G170" si="170">SUM(G171:G174)</f>
        <v>0</v>
      </c>
      <c r="H170" s="575">
        <f t="shared" ref="H170" si="171">SUM(H171:H174)</f>
        <v>0</v>
      </c>
      <c r="I170" s="576">
        <f t="shared" ref="I170" si="172">SUM(I171:I174)</f>
        <v>0</v>
      </c>
      <c r="J170" s="575">
        <f t="shared" ref="J170" si="173">SUM(J171:J174)</f>
        <v>0</v>
      </c>
      <c r="K170" s="576">
        <f t="shared" ref="K170" si="174">SUM(K171:K174)</f>
        <v>0</v>
      </c>
      <c r="L170" s="575">
        <f t="shared" ref="L170" si="175">SUM(L171:L174)</f>
        <v>0</v>
      </c>
      <c r="M170" s="576">
        <f t="shared" ref="M170" si="176">SUM(M171:M174)</f>
        <v>0</v>
      </c>
      <c r="N170" s="575">
        <f t="shared" ref="N170" si="177">SUM(N171:N174)</f>
        <v>0</v>
      </c>
      <c r="O170" s="576">
        <f t="shared" ref="O170" si="178">SUM(O171:O174)</f>
        <v>0</v>
      </c>
      <c r="P170" s="575">
        <f t="shared" ref="P170" si="179">SUM(P171:P174)</f>
        <v>0</v>
      </c>
      <c r="Q170" s="576">
        <f t="shared" ref="Q170" si="180">SUM(Q171:Q174)</f>
        <v>0</v>
      </c>
      <c r="R170" s="575">
        <f t="shared" ref="R170" si="181">SUM(R171:R174)</f>
        <v>0</v>
      </c>
      <c r="S170" s="576">
        <f t="shared" ref="S170" si="182">SUM(S171:S174)</f>
        <v>0</v>
      </c>
      <c r="T170" s="575">
        <f t="shared" ref="T170" si="183">SUM(T171:T174)</f>
        <v>0</v>
      </c>
      <c r="U170" s="576">
        <f t="shared" ref="U170" si="184">SUM(U171:U174)</f>
        <v>0</v>
      </c>
      <c r="V170" s="575">
        <f t="shared" ref="V170" si="185">SUM(V171:V174)</f>
        <v>0</v>
      </c>
      <c r="W170" s="576">
        <f t="shared" ref="W170" si="186">SUM(W171:W174)</f>
        <v>0</v>
      </c>
      <c r="X170" s="575">
        <f t="shared" ref="X170" si="187">SUM(X171:X174)</f>
        <v>0</v>
      </c>
      <c r="Y170" s="576">
        <f t="shared" ref="Y170" si="188">SUM(Y171:Y174)</f>
        <v>0</v>
      </c>
      <c r="Z170" s="575">
        <f t="shared" ref="Z170" si="189">SUM(Z171:Z174)</f>
        <v>0</v>
      </c>
      <c r="AA170" s="576">
        <f t="shared" ref="AA170" si="190">SUM(AA171:AA174)</f>
        <v>0</v>
      </c>
      <c r="AB170" s="575">
        <f t="shared" ref="AB170" si="191">SUM(AB171:AB174)</f>
        <v>0</v>
      </c>
      <c r="AC170" s="576">
        <f t="shared" ref="AC170" si="192">SUM(AC171:AC174)</f>
        <v>0</v>
      </c>
      <c r="AD170" s="575">
        <f t="shared" ref="AD170" si="193">SUM(AD171:AD174)</f>
        <v>0</v>
      </c>
      <c r="AE170" s="576">
        <f t="shared" ref="AE170" si="194">SUM(AE171:AE174)</f>
        <v>0</v>
      </c>
      <c r="AF170" s="575">
        <f t="shared" ref="AF170" si="195">SUM(AF171:AF174)</f>
        <v>0</v>
      </c>
      <c r="AG170" s="576">
        <f t="shared" ref="AG170" si="196">SUM(AG171:AG174)</f>
        <v>0</v>
      </c>
    </row>
    <row r="171" spans="1:33" x14ac:dyDescent="0.15">
      <c r="A171" s="561"/>
      <c r="B171" s="569"/>
      <c r="C171" s="570" t="s">
        <v>494</v>
      </c>
      <c r="F171" s="582"/>
      <c r="G171" s="583"/>
      <c r="J171" s="582"/>
      <c r="K171" s="583"/>
      <c r="N171" s="582"/>
      <c r="O171" s="583"/>
      <c r="R171" s="582"/>
      <c r="S171" s="583"/>
      <c r="V171" s="582"/>
      <c r="W171" s="583"/>
      <c r="Z171" s="582"/>
      <c r="AA171" s="583"/>
      <c r="AD171" s="582"/>
      <c r="AE171" s="583"/>
      <c r="AG171" s="583"/>
    </row>
    <row r="172" spans="1:33" x14ac:dyDescent="0.15">
      <c r="A172" s="561"/>
      <c r="B172" s="569"/>
      <c r="C172" s="570" t="s">
        <v>495</v>
      </c>
      <c r="F172" s="582"/>
      <c r="G172" s="583"/>
      <c r="J172" s="582"/>
      <c r="K172" s="583"/>
      <c r="N172" s="582"/>
      <c r="O172" s="583"/>
      <c r="R172" s="582"/>
      <c r="S172" s="583"/>
      <c r="V172" s="582"/>
      <c r="W172" s="583"/>
      <c r="Z172" s="582"/>
      <c r="AA172" s="583"/>
      <c r="AD172" s="582"/>
      <c r="AE172" s="583"/>
      <c r="AG172" s="583"/>
    </row>
    <row r="173" spans="1:33" x14ac:dyDescent="0.15">
      <c r="A173" s="561"/>
      <c r="B173" s="569"/>
      <c r="C173" s="570" t="s">
        <v>496</v>
      </c>
      <c r="F173" s="582"/>
      <c r="G173" s="583"/>
      <c r="J173" s="582"/>
      <c r="K173" s="583"/>
      <c r="N173" s="582"/>
      <c r="O173" s="583"/>
      <c r="R173" s="582"/>
      <c r="S173" s="583"/>
      <c r="V173" s="582"/>
      <c r="W173" s="583"/>
      <c r="Z173" s="582"/>
      <c r="AA173" s="583"/>
      <c r="AD173" s="582"/>
      <c r="AE173" s="583"/>
      <c r="AG173" s="583"/>
    </row>
    <row r="174" spans="1:33" ht="15" thickBot="1" x14ac:dyDescent="0.2">
      <c r="A174" s="561"/>
      <c r="B174" s="569"/>
      <c r="C174" s="570" t="s">
        <v>497</v>
      </c>
      <c r="F174" s="582"/>
      <c r="G174" s="583"/>
      <c r="J174" s="582"/>
      <c r="K174" s="583"/>
      <c r="N174" s="582"/>
      <c r="O174" s="583"/>
      <c r="R174" s="582"/>
      <c r="S174" s="583"/>
      <c r="V174" s="582"/>
      <c r="W174" s="583"/>
      <c r="Z174" s="582"/>
      <c r="AA174" s="583"/>
      <c r="AD174" s="582"/>
      <c r="AE174" s="583"/>
      <c r="AG174" s="583"/>
    </row>
    <row r="175" spans="1:33" ht="30" x14ac:dyDescent="0.15">
      <c r="A175" s="565" t="s">
        <v>447</v>
      </c>
      <c r="B175" s="567" t="s">
        <v>31</v>
      </c>
      <c r="C175" s="568" t="s">
        <v>498</v>
      </c>
      <c r="D175" s="575">
        <f>SUM(D176:D179)</f>
        <v>0</v>
      </c>
      <c r="E175" s="576">
        <f>SUM(E176:E179)</f>
        <v>0</v>
      </c>
      <c r="F175" s="575">
        <f t="shared" ref="F175" si="197">SUM(F176:F179)</f>
        <v>0</v>
      </c>
      <c r="G175" s="576">
        <f t="shared" ref="G175" si="198">SUM(G176:G179)</f>
        <v>0</v>
      </c>
      <c r="H175" s="575">
        <f t="shared" ref="H175" si="199">SUM(H176:H179)</f>
        <v>0</v>
      </c>
      <c r="I175" s="576">
        <f t="shared" ref="I175" si="200">SUM(I176:I179)</f>
        <v>0</v>
      </c>
      <c r="J175" s="575">
        <f t="shared" ref="J175" si="201">SUM(J176:J179)</f>
        <v>0</v>
      </c>
      <c r="K175" s="576">
        <f t="shared" ref="K175" si="202">SUM(K176:K179)</f>
        <v>0</v>
      </c>
      <c r="L175" s="575">
        <f t="shared" ref="L175" si="203">SUM(L176:L179)</f>
        <v>0</v>
      </c>
      <c r="M175" s="576">
        <f t="shared" ref="M175" si="204">SUM(M176:M179)</f>
        <v>0</v>
      </c>
      <c r="N175" s="575">
        <f t="shared" ref="N175" si="205">SUM(N176:N179)</f>
        <v>0</v>
      </c>
      <c r="O175" s="576">
        <f t="shared" ref="O175" si="206">SUM(O176:O179)</f>
        <v>0</v>
      </c>
      <c r="P175" s="575">
        <f t="shared" ref="P175" si="207">SUM(P176:P179)</f>
        <v>0</v>
      </c>
      <c r="Q175" s="576">
        <f t="shared" ref="Q175" si="208">SUM(Q176:Q179)</f>
        <v>0</v>
      </c>
      <c r="R175" s="575">
        <f t="shared" ref="R175" si="209">SUM(R176:R179)</f>
        <v>0</v>
      </c>
      <c r="S175" s="576">
        <f t="shared" ref="S175" si="210">SUM(S176:S179)</f>
        <v>0</v>
      </c>
      <c r="T175" s="575">
        <f t="shared" ref="T175" si="211">SUM(T176:T179)</f>
        <v>0</v>
      </c>
      <c r="U175" s="576">
        <f t="shared" ref="U175" si="212">SUM(U176:U179)</f>
        <v>0</v>
      </c>
      <c r="V175" s="575">
        <f t="shared" ref="V175" si="213">SUM(V176:V179)</f>
        <v>0</v>
      </c>
      <c r="W175" s="576">
        <f t="shared" ref="W175" si="214">SUM(W176:W179)</f>
        <v>0</v>
      </c>
      <c r="X175" s="575">
        <f t="shared" ref="X175" si="215">SUM(X176:X179)</f>
        <v>0</v>
      </c>
      <c r="Y175" s="576">
        <f t="shared" ref="Y175" si="216">SUM(Y176:Y179)</f>
        <v>0</v>
      </c>
      <c r="Z175" s="575">
        <f t="shared" ref="Z175" si="217">SUM(Z176:Z179)</f>
        <v>0</v>
      </c>
      <c r="AA175" s="576">
        <f t="shared" ref="AA175" si="218">SUM(AA176:AA179)</f>
        <v>0</v>
      </c>
      <c r="AB175" s="575">
        <f t="shared" ref="AB175" si="219">SUM(AB176:AB179)</f>
        <v>0</v>
      </c>
      <c r="AC175" s="576">
        <f t="shared" ref="AC175" si="220">SUM(AC176:AC179)</f>
        <v>0</v>
      </c>
      <c r="AD175" s="575">
        <f t="shared" ref="AD175" si="221">SUM(AD176:AD179)</f>
        <v>0</v>
      </c>
      <c r="AE175" s="576">
        <f t="shared" ref="AE175" si="222">SUM(AE176:AE179)</f>
        <v>0</v>
      </c>
      <c r="AF175" s="575">
        <f t="shared" ref="AF175" si="223">SUM(AF176:AF179)</f>
        <v>0</v>
      </c>
      <c r="AG175" s="576">
        <f t="shared" ref="AG175" si="224">SUM(AG176:AG179)</f>
        <v>0</v>
      </c>
    </row>
    <row r="176" spans="1:33" x14ac:dyDescent="0.15">
      <c r="A176" s="561"/>
      <c r="B176" s="569"/>
      <c r="C176" s="570" t="s">
        <v>499</v>
      </c>
      <c r="F176" s="582"/>
      <c r="G176" s="583"/>
      <c r="J176" s="582"/>
      <c r="K176" s="583"/>
      <c r="N176" s="582"/>
      <c r="O176" s="583"/>
      <c r="R176" s="582"/>
      <c r="S176" s="583"/>
      <c r="V176" s="582"/>
      <c r="W176" s="583"/>
      <c r="Z176" s="582"/>
      <c r="AA176" s="583"/>
      <c r="AD176" s="582"/>
      <c r="AE176" s="583"/>
      <c r="AG176" s="583"/>
    </row>
    <row r="177" spans="1:33" x14ac:dyDescent="0.15">
      <c r="A177" s="561"/>
      <c r="B177" s="569"/>
      <c r="C177" s="570" t="s">
        <v>500</v>
      </c>
      <c r="F177" s="582"/>
      <c r="G177" s="583"/>
      <c r="J177" s="582"/>
      <c r="K177" s="583"/>
      <c r="N177" s="582"/>
      <c r="O177" s="583"/>
      <c r="R177" s="582"/>
      <c r="S177" s="583"/>
      <c r="V177" s="582"/>
      <c r="W177" s="583"/>
      <c r="Z177" s="582"/>
      <c r="AA177" s="583"/>
      <c r="AD177" s="582"/>
      <c r="AE177" s="583"/>
      <c r="AG177" s="583"/>
    </row>
    <row r="178" spans="1:33" x14ac:dyDescent="0.15">
      <c r="A178" s="561"/>
      <c r="B178" s="569"/>
      <c r="C178" s="570" t="s">
        <v>501</v>
      </c>
      <c r="F178" s="582"/>
      <c r="G178" s="583"/>
      <c r="J178" s="582"/>
      <c r="K178" s="583"/>
      <c r="N178" s="582"/>
      <c r="O178" s="583"/>
      <c r="R178" s="582"/>
      <c r="S178" s="583"/>
      <c r="V178" s="582"/>
      <c r="W178" s="583"/>
      <c r="Z178" s="582"/>
      <c r="AA178" s="583"/>
      <c r="AD178" s="582"/>
      <c r="AE178" s="583"/>
      <c r="AG178" s="583"/>
    </row>
    <row r="179" spans="1:33" ht="15" thickBot="1" x14ac:dyDescent="0.2">
      <c r="A179" s="561"/>
      <c r="B179" s="569"/>
      <c r="C179" s="570" t="s">
        <v>502</v>
      </c>
      <c r="F179" s="582"/>
      <c r="G179" s="583"/>
      <c r="J179" s="582"/>
      <c r="K179" s="583"/>
      <c r="N179" s="582"/>
      <c r="O179" s="583"/>
      <c r="R179" s="582"/>
      <c r="S179" s="583"/>
      <c r="V179" s="582"/>
      <c r="W179" s="583"/>
      <c r="Z179" s="582"/>
      <c r="AA179" s="583"/>
      <c r="AD179" s="582"/>
      <c r="AE179" s="583"/>
      <c r="AG179" s="583"/>
    </row>
    <row r="180" spans="1:33" ht="30" x14ac:dyDescent="0.15">
      <c r="A180" s="564" t="s">
        <v>460</v>
      </c>
      <c r="B180" s="571" t="s">
        <v>31</v>
      </c>
      <c r="C180" s="604" t="s">
        <v>503</v>
      </c>
      <c r="D180" s="575">
        <f>SUM(D181:D184)</f>
        <v>0</v>
      </c>
      <c r="E180" s="576">
        <f>SUM(E181:E184)</f>
        <v>0</v>
      </c>
      <c r="F180" s="575">
        <f t="shared" ref="F180" si="225">SUM(F181:F184)</f>
        <v>0</v>
      </c>
      <c r="G180" s="576">
        <f t="shared" ref="G180" si="226">SUM(G181:G184)</f>
        <v>0</v>
      </c>
      <c r="H180" s="575">
        <f t="shared" ref="H180" si="227">SUM(H181:H184)</f>
        <v>0</v>
      </c>
      <c r="I180" s="576">
        <f t="shared" ref="I180" si="228">SUM(I181:I184)</f>
        <v>0</v>
      </c>
      <c r="J180" s="575">
        <f t="shared" ref="J180" si="229">SUM(J181:J184)</f>
        <v>0</v>
      </c>
      <c r="K180" s="576">
        <f t="shared" ref="K180" si="230">SUM(K181:K184)</f>
        <v>0</v>
      </c>
      <c r="L180" s="575">
        <f t="shared" ref="L180" si="231">SUM(L181:L184)</f>
        <v>0</v>
      </c>
      <c r="M180" s="576">
        <f t="shared" ref="M180" si="232">SUM(M181:M184)</f>
        <v>0</v>
      </c>
      <c r="N180" s="575">
        <f t="shared" ref="N180" si="233">SUM(N181:N184)</f>
        <v>0</v>
      </c>
      <c r="O180" s="576">
        <f t="shared" ref="O180" si="234">SUM(O181:O184)</f>
        <v>0</v>
      </c>
      <c r="P180" s="575">
        <f t="shared" ref="P180" si="235">SUM(P181:P184)</f>
        <v>0</v>
      </c>
      <c r="Q180" s="576">
        <f t="shared" ref="Q180" si="236">SUM(Q181:Q184)</f>
        <v>0</v>
      </c>
      <c r="R180" s="575">
        <f t="shared" ref="R180" si="237">SUM(R181:R184)</f>
        <v>0</v>
      </c>
      <c r="S180" s="576">
        <f t="shared" ref="S180" si="238">SUM(S181:S184)</f>
        <v>0</v>
      </c>
      <c r="T180" s="575">
        <f t="shared" ref="T180" si="239">SUM(T181:T184)</f>
        <v>0</v>
      </c>
      <c r="U180" s="576">
        <f t="shared" ref="U180" si="240">SUM(U181:U184)</f>
        <v>0</v>
      </c>
      <c r="V180" s="575">
        <f t="shared" ref="V180" si="241">SUM(V181:V184)</f>
        <v>0</v>
      </c>
      <c r="W180" s="576">
        <f t="shared" ref="W180" si="242">SUM(W181:W184)</f>
        <v>0</v>
      </c>
      <c r="X180" s="575">
        <f t="shared" ref="X180" si="243">SUM(X181:X184)</f>
        <v>0</v>
      </c>
      <c r="Y180" s="576">
        <f t="shared" ref="Y180" si="244">SUM(Y181:Y184)</f>
        <v>0</v>
      </c>
      <c r="Z180" s="575">
        <f t="shared" ref="Z180" si="245">SUM(Z181:Z184)</f>
        <v>0</v>
      </c>
      <c r="AA180" s="576">
        <f t="shared" ref="AA180" si="246">SUM(AA181:AA184)</f>
        <v>0</v>
      </c>
      <c r="AB180" s="575">
        <f t="shared" ref="AB180" si="247">SUM(AB181:AB184)</f>
        <v>0</v>
      </c>
      <c r="AC180" s="576">
        <f t="shared" ref="AC180" si="248">SUM(AC181:AC184)</f>
        <v>0</v>
      </c>
      <c r="AD180" s="575">
        <f t="shared" ref="AD180" si="249">SUM(AD181:AD184)</f>
        <v>0</v>
      </c>
      <c r="AE180" s="576">
        <f t="shared" ref="AE180" si="250">SUM(AE181:AE184)</f>
        <v>0</v>
      </c>
      <c r="AF180" s="575">
        <f t="shared" ref="AF180" si="251">SUM(AF181:AF184)</f>
        <v>0</v>
      </c>
      <c r="AG180" s="576">
        <f t="shared" ref="AG180" si="252">SUM(AG181:AG184)</f>
        <v>0</v>
      </c>
    </row>
    <row r="181" spans="1:33" x14ac:dyDescent="0.15">
      <c r="A181" s="561"/>
      <c r="B181" s="569"/>
      <c r="C181" s="570" t="s">
        <v>504</v>
      </c>
      <c r="F181" s="582"/>
      <c r="G181" s="583"/>
      <c r="J181" s="582"/>
      <c r="K181" s="583"/>
      <c r="N181" s="582"/>
      <c r="O181" s="583"/>
      <c r="R181" s="582"/>
      <c r="S181" s="583"/>
      <c r="V181" s="582"/>
      <c r="W181" s="583"/>
      <c r="Z181" s="582"/>
      <c r="AA181" s="583"/>
      <c r="AD181" s="582"/>
      <c r="AE181" s="583"/>
      <c r="AG181" s="583"/>
    </row>
    <row r="182" spans="1:33" x14ac:dyDescent="0.15">
      <c r="A182" s="561"/>
      <c r="B182" s="569"/>
      <c r="C182" s="570" t="s">
        <v>505</v>
      </c>
      <c r="F182" s="582"/>
      <c r="G182" s="583"/>
      <c r="J182" s="582"/>
      <c r="K182" s="583"/>
      <c r="N182" s="582"/>
      <c r="O182" s="583"/>
      <c r="R182" s="582"/>
      <c r="S182" s="583"/>
      <c r="V182" s="582"/>
      <c r="W182" s="583"/>
      <c r="Z182" s="582"/>
      <c r="AA182" s="583"/>
      <c r="AD182" s="582"/>
      <c r="AE182" s="583"/>
      <c r="AG182" s="583"/>
    </row>
    <row r="183" spans="1:33" x14ac:dyDescent="0.15">
      <c r="A183" s="561"/>
      <c r="B183" s="569"/>
      <c r="C183" s="570" t="s">
        <v>506</v>
      </c>
      <c r="F183" s="582"/>
      <c r="G183" s="583"/>
      <c r="J183" s="582"/>
      <c r="K183" s="583"/>
      <c r="N183" s="582"/>
      <c r="O183" s="583"/>
      <c r="R183" s="582"/>
      <c r="S183" s="583"/>
      <c r="V183" s="582"/>
      <c r="W183" s="583"/>
      <c r="Z183" s="582"/>
      <c r="AA183" s="583"/>
      <c r="AD183" s="582"/>
      <c r="AE183" s="583"/>
      <c r="AG183" s="583"/>
    </row>
    <row r="184" spans="1:33" ht="15" thickBot="1" x14ac:dyDescent="0.2">
      <c r="A184" s="561"/>
      <c r="B184" s="569"/>
      <c r="C184" s="570" t="s">
        <v>507</v>
      </c>
      <c r="F184" s="582"/>
      <c r="G184" s="583"/>
      <c r="J184" s="582"/>
      <c r="K184" s="583"/>
      <c r="N184" s="582"/>
      <c r="O184" s="583"/>
      <c r="R184" s="582"/>
      <c r="S184" s="583"/>
      <c r="V184" s="582"/>
      <c r="W184" s="583"/>
      <c r="Z184" s="582"/>
      <c r="AA184" s="583"/>
      <c r="AD184" s="582"/>
      <c r="AE184" s="583"/>
      <c r="AG184" s="583"/>
    </row>
    <row r="185" spans="1:33" ht="30" x14ac:dyDescent="0.15">
      <c r="A185" s="564" t="s">
        <v>461</v>
      </c>
      <c r="B185" s="571" t="s">
        <v>31</v>
      </c>
      <c r="C185" s="604" t="s">
        <v>508</v>
      </c>
      <c r="D185" s="575">
        <f>SUM(D186:D189)</f>
        <v>0</v>
      </c>
      <c r="E185" s="576">
        <f>SUM(E186:E189)</f>
        <v>0</v>
      </c>
      <c r="F185" s="575">
        <f t="shared" ref="F185" si="253">SUM(F186:F189)</f>
        <v>0</v>
      </c>
      <c r="G185" s="576">
        <f t="shared" ref="G185" si="254">SUM(G186:G189)</f>
        <v>0</v>
      </c>
      <c r="H185" s="575">
        <f t="shared" ref="H185" si="255">SUM(H186:H189)</f>
        <v>0</v>
      </c>
      <c r="I185" s="576">
        <f t="shared" ref="I185" si="256">SUM(I186:I189)</f>
        <v>0</v>
      </c>
      <c r="J185" s="575">
        <f t="shared" ref="J185" si="257">SUM(J186:J189)</f>
        <v>0</v>
      </c>
      <c r="K185" s="576">
        <f t="shared" ref="K185" si="258">SUM(K186:K189)</f>
        <v>0</v>
      </c>
      <c r="L185" s="575">
        <f t="shared" ref="L185" si="259">SUM(L186:L189)</f>
        <v>0</v>
      </c>
      <c r="M185" s="576">
        <f t="shared" ref="M185" si="260">SUM(M186:M189)</f>
        <v>0</v>
      </c>
      <c r="N185" s="575">
        <f t="shared" ref="N185" si="261">SUM(N186:N189)</f>
        <v>0</v>
      </c>
      <c r="O185" s="576">
        <f t="shared" ref="O185" si="262">SUM(O186:O189)</f>
        <v>0</v>
      </c>
      <c r="P185" s="575">
        <f t="shared" ref="P185" si="263">SUM(P186:P189)</f>
        <v>0</v>
      </c>
      <c r="Q185" s="576">
        <f t="shared" ref="Q185" si="264">SUM(Q186:Q189)</f>
        <v>0</v>
      </c>
      <c r="R185" s="575">
        <f t="shared" ref="R185" si="265">SUM(R186:R189)</f>
        <v>0</v>
      </c>
      <c r="S185" s="576">
        <f t="shared" ref="S185" si="266">SUM(S186:S189)</f>
        <v>0</v>
      </c>
      <c r="T185" s="575">
        <f t="shared" ref="T185" si="267">SUM(T186:T189)</f>
        <v>0</v>
      </c>
      <c r="U185" s="576">
        <f t="shared" ref="U185" si="268">SUM(U186:U189)</f>
        <v>0</v>
      </c>
      <c r="V185" s="575">
        <f t="shared" ref="V185" si="269">SUM(V186:V189)</f>
        <v>0</v>
      </c>
      <c r="W185" s="576">
        <f t="shared" ref="W185" si="270">SUM(W186:W189)</f>
        <v>0</v>
      </c>
      <c r="X185" s="575">
        <f t="shared" ref="X185" si="271">SUM(X186:X189)</f>
        <v>0</v>
      </c>
      <c r="Y185" s="576">
        <f t="shared" ref="Y185" si="272">SUM(Y186:Y189)</f>
        <v>0</v>
      </c>
      <c r="Z185" s="575">
        <f t="shared" ref="Z185" si="273">SUM(Z186:Z189)</f>
        <v>0</v>
      </c>
      <c r="AA185" s="576">
        <f t="shared" ref="AA185" si="274">SUM(AA186:AA189)</f>
        <v>0</v>
      </c>
      <c r="AB185" s="575">
        <f t="shared" ref="AB185" si="275">SUM(AB186:AB189)</f>
        <v>0</v>
      </c>
      <c r="AC185" s="576">
        <f t="shared" ref="AC185" si="276">SUM(AC186:AC189)</f>
        <v>0</v>
      </c>
      <c r="AD185" s="575">
        <f t="shared" ref="AD185" si="277">SUM(AD186:AD189)</f>
        <v>0</v>
      </c>
      <c r="AE185" s="576">
        <f t="shared" ref="AE185" si="278">SUM(AE186:AE189)</f>
        <v>0</v>
      </c>
      <c r="AF185" s="575">
        <f t="shared" ref="AF185" si="279">SUM(AF186:AF189)</f>
        <v>0</v>
      </c>
      <c r="AG185" s="576">
        <f t="shared" ref="AG185" si="280">SUM(AG186:AG189)</f>
        <v>0</v>
      </c>
    </row>
    <row r="186" spans="1:33" x14ac:dyDescent="0.15">
      <c r="A186" s="561"/>
      <c r="B186" s="569"/>
      <c r="C186" s="570" t="s">
        <v>509</v>
      </c>
      <c r="F186" s="582"/>
      <c r="G186" s="583"/>
      <c r="J186" s="582"/>
      <c r="K186" s="583"/>
      <c r="N186" s="582"/>
      <c r="O186" s="583"/>
      <c r="R186" s="582"/>
      <c r="S186" s="583"/>
      <c r="V186" s="582"/>
      <c r="W186" s="583"/>
      <c r="Z186" s="582"/>
      <c r="AA186" s="583"/>
      <c r="AD186" s="582"/>
      <c r="AE186" s="583"/>
      <c r="AG186" s="583"/>
    </row>
    <row r="187" spans="1:33" x14ac:dyDescent="0.15">
      <c r="A187" s="561"/>
      <c r="B187" s="569"/>
      <c r="C187" s="570" t="s">
        <v>510</v>
      </c>
      <c r="F187" s="582"/>
      <c r="G187" s="583"/>
      <c r="J187" s="582"/>
      <c r="K187" s="583"/>
      <c r="N187" s="582"/>
      <c r="O187" s="583"/>
      <c r="R187" s="582"/>
      <c r="S187" s="583"/>
      <c r="V187" s="582"/>
      <c r="W187" s="583"/>
      <c r="Z187" s="582"/>
      <c r="AA187" s="583"/>
      <c r="AD187" s="582"/>
      <c r="AE187" s="583"/>
      <c r="AG187" s="583"/>
    </row>
    <row r="188" spans="1:33" x14ac:dyDescent="0.15">
      <c r="A188" s="561"/>
      <c r="B188" s="569"/>
      <c r="C188" s="570" t="s">
        <v>511</v>
      </c>
      <c r="F188" s="582"/>
      <c r="G188" s="583"/>
      <c r="J188" s="582"/>
      <c r="K188" s="583"/>
      <c r="N188" s="582"/>
      <c r="O188" s="583"/>
      <c r="R188" s="582"/>
      <c r="S188" s="583"/>
      <c r="V188" s="582"/>
      <c r="W188" s="583"/>
      <c r="Z188" s="582"/>
      <c r="AA188" s="583"/>
      <c r="AD188" s="582"/>
      <c r="AE188" s="583"/>
      <c r="AG188" s="583"/>
    </row>
    <row r="189" spans="1:33" ht="15" thickBot="1" x14ac:dyDescent="0.2">
      <c r="A189" s="561"/>
      <c r="B189" s="569"/>
      <c r="C189" s="570" t="s">
        <v>512</v>
      </c>
      <c r="F189" s="582"/>
      <c r="G189" s="583"/>
      <c r="J189" s="582"/>
      <c r="K189" s="583"/>
      <c r="N189" s="582"/>
      <c r="O189" s="583"/>
      <c r="R189" s="582"/>
      <c r="S189" s="583"/>
      <c r="V189" s="582"/>
      <c r="W189" s="583"/>
      <c r="Z189" s="582"/>
      <c r="AA189" s="583"/>
      <c r="AD189" s="582"/>
      <c r="AE189" s="583"/>
      <c r="AG189" s="583"/>
    </row>
    <row r="190" spans="1:33" ht="15" x14ac:dyDescent="0.15">
      <c r="A190" s="565" t="s">
        <v>459</v>
      </c>
      <c r="B190" s="567" t="s">
        <v>31</v>
      </c>
      <c r="C190" s="568" t="s">
        <v>513</v>
      </c>
      <c r="D190" s="575">
        <f>SUM(D191:D194)</f>
        <v>0</v>
      </c>
      <c r="E190" s="576">
        <f>SUM(E191:E194)</f>
        <v>0</v>
      </c>
      <c r="F190" s="575">
        <f t="shared" ref="F190" si="281">SUM(F191:F194)</f>
        <v>0</v>
      </c>
      <c r="G190" s="576">
        <f t="shared" ref="G190" si="282">SUM(G191:G194)</f>
        <v>0</v>
      </c>
      <c r="H190" s="575">
        <f t="shared" ref="H190" si="283">SUM(H191:H194)</f>
        <v>0</v>
      </c>
      <c r="I190" s="576">
        <f t="shared" ref="I190" si="284">SUM(I191:I194)</f>
        <v>0</v>
      </c>
      <c r="J190" s="575">
        <f t="shared" ref="J190" si="285">SUM(J191:J194)</f>
        <v>0</v>
      </c>
      <c r="K190" s="576">
        <f t="shared" ref="K190" si="286">SUM(K191:K194)</f>
        <v>0</v>
      </c>
      <c r="L190" s="575">
        <f t="shared" ref="L190" si="287">SUM(L191:L194)</f>
        <v>0</v>
      </c>
      <c r="M190" s="576">
        <f t="shared" ref="M190" si="288">SUM(M191:M194)</f>
        <v>0</v>
      </c>
      <c r="N190" s="575">
        <f t="shared" ref="N190" si="289">SUM(N191:N194)</f>
        <v>0</v>
      </c>
      <c r="O190" s="576">
        <f t="shared" ref="O190" si="290">SUM(O191:O194)</f>
        <v>0</v>
      </c>
      <c r="P190" s="575">
        <f t="shared" ref="P190" si="291">SUM(P191:P194)</f>
        <v>0</v>
      </c>
      <c r="Q190" s="576">
        <f t="shared" ref="Q190" si="292">SUM(Q191:Q194)</f>
        <v>0</v>
      </c>
      <c r="R190" s="575">
        <f t="shared" ref="R190" si="293">SUM(R191:R194)</f>
        <v>0</v>
      </c>
      <c r="S190" s="576">
        <f t="shared" ref="S190" si="294">SUM(S191:S194)</f>
        <v>0</v>
      </c>
      <c r="T190" s="575">
        <f t="shared" ref="T190" si="295">SUM(T191:T194)</f>
        <v>0</v>
      </c>
      <c r="U190" s="576">
        <f t="shared" ref="U190" si="296">SUM(U191:U194)</f>
        <v>0</v>
      </c>
      <c r="V190" s="575">
        <f t="shared" ref="V190" si="297">SUM(V191:V194)</f>
        <v>0</v>
      </c>
      <c r="W190" s="576">
        <f t="shared" ref="W190" si="298">SUM(W191:W194)</f>
        <v>0</v>
      </c>
      <c r="X190" s="575">
        <f t="shared" ref="X190" si="299">SUM(X191:X194)</f>
        <v>0</v>
      </c>
      <c r="Y190" s="576">
        <f t="shared" ref="Y190" si="300">SUM(Y191:Y194)</f>
        <v>0</v>
      </c>
      <c r="Z190" s="575">
        <f t="shared" ref="Z190" si="301">SUM(Z191:Z194)</f>
        <v>0</v>
      </c>
      <c r="AA190" s="576">
        <f t="shared" ref="AA190" si="302">SUM(AA191:AA194)</f>
        <v>0</v>
      </c>
      <c r="AB190" s="575">
        <f t="shared" ref="AB190" si="303">SUM(AB191:AB194)</f>
        <v>0</v>
      </c>
      <c r="AC190" s="576">
        <f t="shared" ref="AC190" si="304">SUM(AC191:AC194)</f>
        <v>0</v>
      </c>
      <c r="AD190" s="575">
        <f t="shared" ref="AD190" si="305">SUM(AD191:AD194)</f>
        <v>0</v>
      </c>
      <c r="AE190" s="576">
        <f t="shared" ref="AE190" si="306">SUM(AE191:AE194)</f>
        <v>0</v>
      </c>
      <c r="AF190" s="575">
        <f t="shared" ref="AF190" si="307">SUM(AF191:AF194)</f>
        <v>0</v>
      </c>
      <c r="AG190" s="576">
        <f t="shared" ref="AG190" si="308">SUM(AG191:AG194)</f>
        <v>0</v>
      </c>
    </row>
    <row r="191" spans="1:33" x14ac:dyDescent="0.15">
      <c r="A191" s="561"/>
      <c r="B191" s="569"/>
      <c r="C191" s="570" t="s">
        <v>518</v>
      </c>
      <c r="F191" s="582"/>
      <c r="G191" s="583"/>
      <c r="J191" s="582"/>
      <c r="K191" s="583"/>
      <c r="N191" s="582"/>
      <c r="O191" s="583"/>
      <c r="R191" s="582"/>
      <c r="S191" s="583"/>
      <c r="V191" s="582"/>
      <c r="W191" s="583"/>
      <c r="Z191" s="582"/>
      <c r="AA191" s="583"/>
      <c r="AD191" s="582"/>
      <c r="AE191" s="583"/>
      <c r="AG191" s="583"/>
    </row>
    <row r="192" spans="1:33" x14ac:dyDescent="0.15">
      <c r="A192" s="561"/>
      <c r="B192" s="569"/>
      <c r="C192" s="570" t="s">
        <v>519</v>
      </c>
      <c r="F192" s="582"/>
      <c r="G192" s="583"/>
      <c r="J192" s="582"/>
      <c r="K192" s="583"/>
      <c r="N192" s="582"/>
      <c r="O192" s="583"/>
      <c r="R192" s="582"/>
      <c r="S192" s="583"/>
      <c r="V192" s="582"/>
      <c r="W192" s="583"/>
      <c r="Z192" s="582"/>
      <c r="AA192" s="583"/>
      <c r="AD192" s="582"/>
      <c r="AE192" s="583"/>
      <c r="AG192" s="583"/>
    </row>
    <row r="193" spans="1:33" x14ac:dyDescent="0.15">
      <c r="A193" s="561"/>
      <c r="B193" s="569"/>
      <c r="C193" s="570" t="s">
        <v>520</v>
      </c>
      <c r="F193" s="582"/>
      <c r="G193" s="583"/>
      <c r="J193" s="582"/>
      <c r="K193" s="583"/>
      <c r="N193" s="582"/>
      <c r="O193" s="583"/>
      <c r="R193" s="582"/>
      <c r="S193" s="583"/>
      <c r="V193" s="582"/>
      <c r="W193" s="583"/>
      <c r="Z193" s="582"/>
      <c r="AA193" s="583"/>
      <c r="AD193" s="582"/>
      <c r="AE193" s="583"/>
      <c r="AG193" s="583"/>
    </row>
    <row r="194" spans="1:33" ht="15" thickBot="1" x14ac:dyDescent="0.2">
      <c r="A194" s="561"/>
      <c r="B194" s="569"/>
      <c r="C194" s="570" t="s">
        <v>521</v>
      </c>
      <c r="F194" s="582"/>
      <c r="G194" s="583"/>
      <c r="J194" s="582"/>
      <c r="K194" s="583"/>
      <c r="N194" s="582"/>
      <c r="O194" s="583"/>
      <c r="R194" s="582"/>
      <c r="S194" s="583"/>
      <c r="V194" s="582"/>
      <c r="W194" s="583"/>
      <c r="Z194" s="582"/>
      <c r="AA194" s="583"/>
      <c r="AD194" s="582"/>
      <c r="AE194" s="583"/>
      <c r="AG194" s="583"/>
    </row>
    <row r="195" spans="1:33" ht="15" x14ac:dyDescent="0.15">
      <c r="A195" s="564" t="s">
        <v>449</v>
      </c>
      <c r="B195" s="571" t="s">
        <v>31</v>
      </c>
      <c r="C195" s="604" t="s">
        <v>514</v>
      </c>
      <c r="D195" s="575">
        <f>SUM(D196:D199)</f>
        <v>0</v>
      </c>
      <c r="E195" s="576">
        <f>SUM(E196:E199)</f>
        <v>0</v>
      </c>
      <c r="F195" s="575">
        <f t="shared" ref="F195" si="309">SUM(F196:F199)</f>
        <v>0</v>
      </c>
      <c r="G195" s="576">
        <f t="shared" ref="G195" si="310">SUM(G196:G199)</f>
        <v>0</v>
      </c>
      <c r="H195" s="575">
        <f t="shared" ref="H195" si="311">SUM(H196:H199)</f>
        <v>0</v>
      </c>
      <c r="I195" s="576">
        <f t="shared" ref="I195" si="312">SUM(I196:I199)</f>
        <v>0</v>
      </c>
      <c r="J195" s="575">
        <f t="shared" ref="J195" si="313">SUM(J196:J199)</f>
        <v>0</v>
      </c>
      <c r="K195" s="576">
        <f t="shared" ref="K195" si="314">SUM(K196:K199)</f>
        <v>0</v>
      </c>
      <c r="L195" s="575">
        <f t="shared" ref="L195" si="315">SUM(L196:L199)</f>
        <v>0</v>
      </c>
      <c r="M195" s="576">
        <f t="shared" ref="M195" si="316">SUM(M196:M199)</f>
        <v>0</v>
      </c>
      <c r="N195" s="575">
        <f t="shared" ref="N195" si="317">SUM(N196:N199)</f>
        <v>0</v>
      </c>
      <c r="O195" s="576">
        <f t="shared" ref="O195" si="318">SUM(O196:O199)</f>
        <v>0</v>
      </c>
      <c r="P195" s="575">
        <f t="shared" ref="P195" si="319">SUM(P196:P199)</f>
        <v>0</v>
      </c>
      <c r="Q195" s="576">
        <f t="shared" ref="Q195" si="320">SUM(Q196:Q199)</f>
        <v>0</v>
      </c>
      <c r="R195" s="575">
        <f t="shared" ref="R195" si="321">SUM(R196:R199)</f>
        <v>0</v>
      </c>
      <c r="S195" s="576">
        <f t="shared" ref="S195" si="322">SUM(S196:S199)</f>
        <v>0</v>
      </c>
      <c r="T195" s="575">
        <f t="shared" ref="T195" si="323">SUM(T196:T199)</f>
        <v>0</v>
      </c>
      <c r="U195" s="576">
        <f t="shared" ref="U195" si="324">SUM(U196:U199)</f>
        <v>0</v>
      </c>
      <c r="V195" s="575">
        <f t="shared" ref="V195" si="325">SUM(V196:V199)</f>
        <v>0</v>
      </c>
      <c r="W195" s="576">
        <f t="shared" ref="W195" si="326">SUM(W196:W199)</f>
        <v>0</v>
      </c>
      <c r="X195" s="575">
        <f t="shared" ref="X195" si="327">SUM(X196:X199)</f>
        <v>0</v>
      </c>
      <c r="Y195" s="576">
        <f t="shared" ref="Y195" si="328">SUM(Y196:Y199)</f>
        <v>0</v>
      </c>
      <c r="Z195" s="575">
        <f t="shared" ref="Z195" si="329">SUM(Z196:Z199)</f>
        <v>0</v>
      </c>
      <c r="AA195" s="576">
        <f t="shared" ref="AA195" si="330">SUM(AA196:AA199)</f>
        <v>0</v>
      </c>
      <c r="AB195" s="575">
        <f t="shared" ref="AB195" si="331">SUM(AB196:AB199)</f>
        <v>0</v>
      </c>
      <c r="AC195" s="576">
        <f t="shared" ref="AC195" si="332">SUM(AC196:AC199)</f>
        <v>0</v>
      </c>
      <c r="AD195" s="575">
        <f t="shared" ref="AD195" si="333">SUM(AD196:AD199)</f>
        <v>0</v>
      </c>
      <c r="AE195" s="576">
        <f t="shared" ref="AE195" si="334">SUM(AE196:AE199)</f>
        <v>0</v>
      </c>
      <c r="AF195" s="575">
        <f t="shared" ref="AF195" si="335">SUM(AF196:AF199)</f>
        <v>0</v>
      </c>
      <c r="AG195" s="576">
        <f t="shared" ref="AG195" si="336">SUM(AG196:AG199)</f>
        <v>0</v>
      </c>
    </row>
    <row r="196" spans="1:33" x14ac:dyDescent="0.15">
      <c r="A196" s="561"/>
      <c r="B196" s="569"/>
      <c r="C196" s="570" t="s">
        <v>522</v>
      </c>
      <c r="F196" s="582"/>
      <c r="G196" s="583"/>
      <c r="J196" s="582"/>
      <c r="K196" s="583"/>
      <c r="N196" s="582"/>
      <c r="O196" s="583"/>
      <c r="R196" s="582"/>
      <c r="S196" s="583"/>
      <c r="V196" s="582"/>
      <c r="W196" s="583"/>
      <c r="Z196" s="582"/>
      <c r="AA196" s="583"/>
      <c r="AD196" s="582"/>
      <c r="AE196" s="583"/>
      <c r="AG196" s="583"/>
    </row>
    <row r="197" spans="1:33" x14ac:dyDescent="0.15">
      <c r="A197" s="561"/>
      <c r="B197" s="569"/>
      <c r="C197" s="570" t="s">
        <v>523</v>
      </c>
      <c r="F197" s="582"/>
      <c r="G197" s="583"/>
      <c r="J197" s="582"/>
      <c r="K197" s="583"/>
      <c r="N197" s="582"/>
      <c r="O197" s="583"/>
      <c r="R197" s="582"/>
      <c r="S197" s="583"/>
      <c r="V197" s="582"/>
      <c r="W197" s="583"/>
      <c r="Z197" s="582"/>
      <c r="AA197" s="583"/>
      <c r="AD197" s="582"/>
      <c r="AE197" s="583"/>
      <c r="AG197" s="583"/>
    </row>
    <row r="198" spans="1:33" x14ac:dyDescent="0.15">
      <c r="A198" s="561"/>
      <c r="B198" s="569"/>
      <c r="C198" s="570" t="s">
        <v>524</v>
      </c>
      <c r="F198" s="582"/>
      <c r="G198" s="583"/>
      <c r="J198" s="582"/>
      <c r="K198" s="583"/>
      <c r="N198" s="582"/>
      <c r="O198" s="583"/>
      <c r="R198" s="582"/>
      <c r="S198" s="583"/>
      <c r="V198" s="582"/>
      <c r="W198" s="583"/>
      <c r="Z198" s="582"/>
      <c r="AA198" s="583"/>
      <c r="AD198" s="582"/>
      <c r="AE198" s="583"/>
      <c r="AG198" s="583"/>
    </row>
    <row r="199" spans="1:33" ht="15" thickBot="1" x14ac:dyDescent="0.2">
      <c r="A199" s="561"/>
      <c r="B199" s="569"/>
      <c r="C199" s="570" t="s">
        <v>525</v>
      </c>
      <c r="F199" s="582"/>
      <c r="G199" s="583"/>
      <c r="J199" s="582"/>
      <c r="K199" s="583"/>
      <c r="N199" s="582"/>
      <c r="O199" s="583"/>
      <c r="R199" s="582"/>
      <c r="S199" s="583"/>
      <c r="V199" s="582"/>
      <c r="W199" s="583"/>
      <c r="Z199" s="582"/>
      <c r="AA199" s="583"/>
      <c r="AD199" s="582"/>
      <c r="AE199" s="583"/>
      <c r="AG199" s="583"/>
    </row>
    <row r="200" spans="1:33" ht="15" x14ac:dyDescent="0.15">
      <c r="A200" s="564" t="s">
        <v>450</v>
      </c>
      <c r="B200" s="571" t="s">
        <v>31</v>
      </c>
      <c r="C200" s="604" t="s">
        <v>515</v>
      </c>
      <c r="D200" s="575">
        <f>SUM(D201:D204)</f>
        <v>0</v>
      </c>
      <c r="E200" s="576">
        <f>SUM(E201:E204)</f>
        <v>0</v>
      </c>
      <c r="F200" s="575">
        <f t="shared" ref="F200" si="337">SUM(F201:F204)</f>
        <v>0</v>
      </c>
      <c r="G200" s="576">
        <f t="shared" ref="G200" si="338">SUM(G201:G204)</f>
        <v>0</v>
      </c>
      <c r="H200" s="575">
        <f t="shared" ref="H200" si="339">SUM(H201:H204)</f>
        <v>0</v>
      </c>
      <c r="I200" s="576">
        <f t="shared" ref="I200" si="340">SUM(I201:I204)</f>
        <v>0</v>
      </c>
      <c r="J200" s="575">
        <f t="shared" ref="J200" si="341">SUM(J201:J204)</f>
        <v>0</v>
      </c>
      <c r="K200" s="576">
        <f t="shared" ref="K200" si="342">SUM(K201:K204)</f>
        <v>0</v>
      </c>
      <c r="L200" s="575">
        <f t="shared" ref="L200" si="343">SUM(L201:L204)</f>
        <v>0</v>
      </c>
      <c r="M200" s="576">
        <f t="shared" ref="M200" si="344">SUM(M201:M204)</f>
        <v>0</v>
      </c>
      <c r="N200" s="575">
        <f t="shared" ref="N200" si="345">SUM(N201:N204)</f>
        <v>0</v>
      </c>
      <c r="O200" s="576">
        <f t="shared" ref="O200" si="346">SUM(O201:O204)</f>
        <v>0</v>
      </c>
      <c r="P200" s="575">
        <f t="shared" ref="P200" si="347">SUM(P201:P204)</f>
        <v>0</v>
      </c>
      <c r="Q200" s="576">
        <f t="shared" ref="Q200" si="348">SUM(Q201:Q204)</f>
        <v>0</v>
      </c>
      <c r="R200" s="575">
        <f t="shared" ref="R200" si="349">SUM(R201:R204)</f>
        <v>0</v>
      </c>
      <c r="S200" s="576">
        <f t="shared" ref="S200" si="350">SUM(S201:S204)</f>
        <v>0</v>
      </c>
      <c r="T200" s="575">
        <f t="shared" ref="T200" si="351">SUM(T201:T204)</f>
        <v>0</v>
      </c>
      <c r="U200" s="576">
        <f t="shared" ref="U200" si="352">SUM(U201:U204)</f>
        <v>0</v>
      </c>
      <c r="V200" s="575">
        <f t="shared" ref="V200" si="353">SUM(V201:V204)</f>
        <v>0</v>
      </c>
      <c r="W200" s="576">
        <f t="shared" ref="W200" si="354">SUM(W201:W204)</f>
        <v>0</v>
      </c>
      <c r="X200" s="575">
        <f t="shared" ref="X200" si="355">SUM(X201:X204)</f>
        <v>0</v>
      </c>
      <c r="Y200" s="576">
        <f t="shared" ref="Y200" si="356">SUM(Y201:Y204)</f>
        <v>0</v>
      </c>
      <c r="Z200" s="575">
        <f t="shared" ref="Z200" si="357">SUM(Z201:Z204)</f>
        <v>0</v>
      </c>
      <c r="AA200" s="576">
        <f t="shared" ref="AA200" si="358">SUM(AA201:AA204)</f>
        <v>0</v>
      </c>
      <c r="AB200" s="575">
        <f t="shared" ref="AB200" si="359">SUM(AB201:AB204)</f>
        <v>0</v>
      </c>
      <c r="AC200" s="576">
        <f t="shared" ref="AC200" si="360">SUM(AC201:AC204)</f>
        <v>0</v>
      </c>
      <c r="AD200" s="575">
        <f t="shared" ref="AD200" si="361">SUM(AD201:AD204)</f>
        <v>0</v>
      </c>
      <c r="AE200" s="576">
        <f t="shared" ref="AE200" si="362">SUM(AE201:AE204)</f>
        <v>0</v>
      </c>
      <c r="AF200" s="575">
        <f t="shared" ref="AF200" si="363">SUM(AF201:AF204)</f>
        <v>0</v>
      </c>
      <c r="AG200" s="576">
        <f t="shared" ref="AG200" si="364">SUM(AG201:AG204)</f>
        <v>0</v>
      </c>
    </row>
    <row r="201" spans="1:33" x14ac:dyDescent="0.15">
      <c r="A201" s="561"/>
      <c r="B201" s="569"/>
      <c r="C201" s="570" t="s">
        <v>526</v>
      </c>
      <c r="F201" s="582"/>
      <c r="G201" s="583"/>
      <c r="J201" s="582"/>
      <c r="K201" s="583"/>
      <c r="N201" s="582"/>
      <c r="O201" s="583"/>
      <c r="R201" s="582"/>
      <c r="S201" s="583"/>
      <c r="V201" s="582"/>
      <c r="W201" s="583"/>
      <c r="Z201" s="582"/>
      <c r="AA201" s="583"/>
      <c r="AD201" s="582"/>
      <c r="AE201" s="583"/>
      <c r="AG201" s="583"/>
    </row>
    <row r="202" spans="1:33" x14ac:dyDescent="0.15">
      <c r="A202" s="561"/>
      <c r="B202" s="569"/>
      <c r="C202" s="570" t="s">
        <v>527</v>
      </c>
      <c r="F202" s="582"/>
      <c r="G202" s="583"/>
      <c r="J202" s="582"/>
      <c r="K202" s="583"/>
      <c r="N202" s="582"/>
      <c r="O202" s="583"/>
      <c r="R202" s="582"/>
      <c r="S202" s="583"/>
      <c r="V202" s="582"/>
      <c r="W202" s="583"/>
      <c r="Z202" s="582"/>
      <c r="AA202" s="583"/>
      <c r="AD202" s="582"/>
      <c r="AE202" s="583"/>
      <c r="AG202" s="583"/>
    </row>
    <row r="203" spans="1:33" x14ac:dyDescent="0.15">
      <c r="A203" s="561"/>
      <c r="B203" s="569"/>
      <c r="C203" s="570" t="s">
        <v>528</v>
      </c>
      <c r="F203" s="582"/>
      <c r="G203" s="583"/>
      <c r="J203" s="582"/>
      <c r="K203" s="583"/>
      <c r="N203" s="582"/>
      <c r="O203" s="583"/>
      <c r="R203" s="582"/>
      <c r="S203" s="583"/>
      <c r="V203" s="582"/>
      <c r="W203" s="583"/>
      <c r="Z203" s="582"/>
      <c r="AA203" s="583"/>
      <c r="AD203" s="582"/>
      <c r="AE203" s="583"/>
      <c r="AG203" s="583"/>
    </row>
    <row r="204" spans="1:33" ht="15" thickBot="1" x14ac:dyDescent="0.2">
      <c r="A204" s="577"/>
      <c r="B204" s="578"/>
      <c r="C204" s="588" t="s">
        <v>529</v>
      </c>
      <c r="D204" s="589"/>
      <c r="E204" s="589"/>
      <c r="F204" s="585"/>
      <c r="G204" s="586"/>
      <c r="H204" s="589"/>
      <c r="I204" s="589"/>
      <c r="J204" s="585"/>
      <c r="K204" s="586"/>
      <c r="L204" s="589"/>
      <c r="M204" s="589"/>
      <c r="N204" s="585"/>
      <c r="O204" s="586"/>
      <c r="P204" s="589"/>
      <c r="Q204" s="589"/>
      <c r="R204" s="585"/>
      <c r="S204" s="586"/>
      <c r="T204" s="589"/>
      <c r="U204" s="589"/>
      <c r="V204" s="585"/>
      <c r="W204" s="586"/>
      <c r="X204" s="589"/>
      <c r="Y204" s="589"/>
      <c r="Z204" s="585"/>
      <c r="AA204" s="586"/>
      <c r="AB204" s="589"/>
      <c r="AC204" s="589"/>
      <c r="AD204" s="585"/>
      <c r="AE204" s="586"/>
      <c r="AF204" s="589"/>
      <c r="AG204" s="586"/>
    </row>
  </sheetData>
  <mergeCells count="36">
    <mergeCell ref="A132:B132"/>
    <mergeCell ref="A133:B133"/>
    <mergeCell ref="A134:B134"/>
    <mergeCell ref="A135:B135"/>
    <mergeCell ref="A127:B127"/>
    <mergeCell ref="A128:B128"/>
    <mergeCell ref="A129:B129"/>
    <mergeCell ref="A130:B130"/>
    <mergeCell ref="A131:B131"/>
    <mergeCell ref="A122:B122"/>
    <mergeCell ref="A123:B123"/>
    <mergeCell ref="A124:B124"/>
    <mergeCell ref="A125:B125"/>
    <mergeCell ref="A126:B126"/>
    <mergeCell ref="A117:B117"/>
    <mergeCell ref="A118:B118"/>
    <mergeCell ref="A119:B119"/>
    <mergeCell ref="A120:B120"/>
    <mergeCell ref="A121:B121"/>
    <mergeCell ref="A112:B112"/>
    <mergeCell ref="A113:B113"/>
    <mergeCell ref="A114:B114"/>
    <mergeCell ref="A115:B115"/>
    <mergeCell ref="A116:B116"/>
    <mergeCell ref="A17:A19"/>
    <mergeCell ref="A101:B101"/>
    <mergeCell ref="A102:B102"/>
    <mergeCell ref="A103:B103"/>
    <mergeCell ref="A104:B104"/>
    <mergeCell ref="A110:B110"/>
    <mergeCell ref="A111:B111"/>
    <mergeCell ref="A105:B105"/>
    <mergeCell ref="A106:B106"/>
    <mergeCell ref="A107:B107"/>
    <mergeCell ref="A108:B108"/>
    <mergeCell ref="A109:B109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560C3-D99F-9241-BF7C-2EFE8D28470A}">
  <dimension ref="A1:I45"/>
  <sheetViews>
    <sheetView showGridLines="0" workbookViewId="0">
      <selection activeCell="O19" sqref="O19"/>
    </sheetView>
  </sheetViews>
  <sheetFormatPr baseColWidth="10" defaultRowHeight="16" x14ac:dyDescent="0.2"/>
  <cols>
    <col min="1" max="4" width="10.83203125" style="204"/>
    <col min="5" max="5" width="15.83203125" style="204" customWidth="1"/>
    <col min="6" max="16384" width="10.83203125" style="204"/>
  </cols>
  <sheetData>
    <row r="1" spans="1:9" x14ac:dyDescent="0.2">
      <c r="A1" s="203"/>
      <c r="B1" s="203"/>
      <c r="C1" s="203"/>
      <c r="D1" s="203"/>
      <c r="E1" s="203"/>
      <c r="F1" s="203"/>
      <c r="G1" s="203"/>
      <c r="H1" s="203"/>
      <c r="I1" s="203"/>
    </row>
    <row r="2" spans="1:9" x14ac:dyDescent="0.2">
      <c r="A2" s="203"/>
      <c r="B2" s="203"/>
      <c r="C2" s="203"/>
      <c r="D2" s="203"/>
      <c r="E2" s="203"/>
      <c r="F2" s="203"/>
      <c r="G2" s="203"/>
      <c r="H2" s="203"/>
      <c r="I2" s="203"/>
    </row>
    <row r="3" spans="1:9" ht="18" x14ac:dyDescent="0.2">
      <c r="A3" s="203"/>
      <c r="B3" s="203"/>
      <c r="C3" s="203"/>
      <c r="D3" s="205" t="s">
        <v>226</v>
      </c>
      <c r="E3" s="206"/>
      <c r="F3" s="203"/>
      <c r="G3" s="203"/>
      <c r="H3" s="203"/>
      <c r="I3" s="203"/>
    </row>
    <row r="4" spans="1:9" ht="18" x14ac:dyDescent="0.25">
      <c r="A4" s="203"/>
      <c r="B4" s="203"/>
      <c r="C4" s="203"/>
      <c r="D4" s="207">
        <f>SUMIF('Scope Jaar'!$B$6:$F$6,Inzichtelijk!F4,'Scope Jaar'!$B$15:$F$15)+SUMIF('Scope Jaar'!$B$6:$F$6,Inzichtelijk!F4,'Scope Jaar'!$B$21:$F$21)</f>
        <v>1838.2908551826126</v>
      </c>
      <c r="E4" s="206" t="s">
        <v>227</v>
      </c>
      <c r="F4" s="217">
        <v>2021</v>
      </c>
      <c r="G4" s="203"/>
      <c r="H4" s="203"/>
      <c r="I4" s="203"/>
    </row>
    <row r="5" spans="1:9" ht="18" x14ac:dyDescent="0.25">
      <c r="A5" s="203"/>
      <c r="B5" s="203"/>
      <c r="C5" s="203"/>
      <c r="D5" s="207">
        <f>SUMIF('Scope Jaar'!$B$6:$F$6,Inzichtelijk!F5,'Scope Jaar'!$B$15:$F$15)+SUMIF('Scope Jaar'!$B$6:$F$6,Inzichtelijk!F5,'Scope Jaar'!$B$21:$F$21)</f>
        <v>2054.2652999299999</v>
      </c>
      <c r="E5" s="206" t="s">
        <v>227</v>
      </c>
      <c r="F5" s="217">
        <v>2025</v>
      </c>
      <c r="G5" s="203"/>
      <c r="H5" s="203"/>
      <c r="I5" s="203"/>
    </row>
    <row r="6" spans="1:9" x14ac:dyDescent="0.2">
      <c r="A6" s="203"/>
      <c r="B6" s="203"/>
      <c r="C6" s="203"/>
      <c r="D6" s="203"/>
      <c r="E6" s="203"/>
      <c r="F6" s="203"/>
      <c r="G6" s="203"/>
      <c r="H6" s="203"/>
      <c r="I6" s="203"/>
    </row>
    <row r="7" spans="1:9" x14ac:dyDescent="0.2">
      <c r="A7" s="203"/>
      <c r="B7" s="203"/>
      <c r="C7" s="203"/>
      <c r="D7" s="203"/>
      <c r="E7" s="203"/>
      <c r="F7" s="203"/>
      <c r="G7" s="203"/>
      <c r="H7" s="203"/>
      <c r="I7" s="203"/>
    </row>
    <row r="8" spans="1:9" x14ac:dyDescent="0.2">
      <c r="A8" s="203"/>
      <c r="B8" s="203"/>
      <c r="C8" s="203"/>
      <c r="D8" s="203"/>
      <c r="F8" s="203"/>
      <c r="G8" s="203"/>
      <c r="H8" s="203"/>
      <c r="I8" s="203"/>
    </row>
    <row r="9" spans="1:9" x14ac:dyDescent="0.2">
      <c r="A9" s="203"/>
      <c r="B9" s="203"/>
      <c r="C9" s="203"/>
      <c r="D9" s="203"/>
      <c r="E9" s="208">
        <f>F4</f>
        <v>2021</v>
      </c>
      <c r="F9" s="206"/>
      <c r="G9" s="203"/>
      <c r="H9" s="203"/>
      <c r="I9" s="203"/>
    </row>
    <row r="10" spans="1:9" x14ac:dyDescent="0.2">
      <c r="A10" s="203"/>
      <c r="B10" s="203"/>
      <c r="C10" s="203"/>
      <c r="D10" s="203"/>
      <c r="E10" s="209">
        <f>ROUND(D4*1000/20,0)</f>
        <v>91915</v>
      </c>
      <c r="F10" s="203"/>
      <c r="G10" s="203"/>
      <c r="H10" s="203"/>
      <c r="I10" s="203"/>
    </row>
    <row r="11" spans="1:9" x14ac:dyDescent="0.2">
      <c r="A11" s="203"/>
      <c r="B11" s="203"/>
      <c r="C11" s="203"/>
      <c r="D11" s="203"/>
      <c r="E11" s="203"/>
      <c r="F11" s="203"/>
      <c r="G11" s="203"/>
      <c r="H11" s="203"/>
      <c r="I11" s="203"/>
    </row>
    <row r="12" spans="1:9" x14ac:dyDescent="0.2">
      <c r="A12" s="203"/>
      <c r="B12" s="203"/>
      <c r="C12" s="203"/>
      <c r="D12" s="203"/>
      <c r="E12" s="208">
        <f>F5</f>
        <v>2025</v>
      </c>
      <c r="F12" s="203"/>
      <c r="G12" s="203"/>
      <c r="H12" s="203"/>
      <c r="I12" s="203"/>
    </row>
    <row r="13" spans="1:9" x14ac:dyDescent="0.2">
      <c r="A13" s="203"/>
      <c r="B13" s="203"/>
      <c r="C13" s="203"/>
      <c r="D13" s="203"/>
      <c r="E13" s="209">
        <f>ROUND(D5*1000/20,0)</f>
        <v>102713</v>
      </c>
      <c r="F13" s="203"/>
      <c r="G13" s="203"/>
      <c r="H13" s="203"/>
      <c r="I13" s="203"/>
    </row>
    <row r="14" spans="1:9" x14ac:dyDescent="0.2">
      <c r="A14" s="203"/>
      <c r="B14" s="203"/>
      <c r="C14" s="203"/>
      <c r="D14" s="203"/>
      <c r="E14" s="203"/>
      <c r="F14" s="203"/>
      <c r="G14" s="203"/>
      <c r="H14" s="203"/>
      <c r="I14" s="203"/>
    </row>
    <row r="15" spans="1:9" x14ac:dyDescent="0.2">
      <c r="A15" s="203"/>
      <c r="B15" s="203"/>
      <c r="C15" s="203"/>
      <c r="D15" s="203"/>
      <c r="E15" s="203"/>
      <c r="F15" s="203"/>
      <c r="G15" s="203"/>
      <c r="H15" s="203"/>
      <c r="I15" s="203"/>
    </row>
    <row r="16" spans="1:9" x14ac:dyDescent="0.2">
      <c r="A16" s="203"/>
      <c r="B16" s="203"/>
      <c r="C16" s="203"/>
      <c r="D16" s="203"/>
      <c r="E16" s="203"/>
      <c r="F16" s="203"/>
      <c r="G16" s="203"/>
      <c r="H16" s="203"/>
      <c r="I16" s="203"/>
    </row>
    <row r="17" spans="1:9" x14ac:dyDescent="0.2">
      <c r="A17" s="203"/>
      <c r="B17" s="203"/>
      <c r="C17" s="203"/>
      <c r="D17" s="203"/>
      <c r="E17" s="203"/>
      <c r="F17" s="203"/>
      <c r="G17" s="203"/>
      <c r="H17" s="203"/>
      <c r="I17" s="203"/>
    </row>
    <row r="18" spans="1:9" x14ac:dyDescent="0.2">
      <c r="A18" s="203"/>
      <c r="B18" s="203"/>
      <c r="C18" s="203"/>
      <c r="D18" s="203"/>
      <c r="E18" s="203"/>
      <c r="F18" s="203"/>
      <c r="G18" s="203"/>
      <c r="H18" s="203"/>
      <c r="I18" s="203"/>
    </row>
    <row r="19" spans="1:9" x14ac:dyDescent="0.2">
      <c r="A19" s="203"/>
      <c r="B19" s="203"/>
      <c r="C19" s="203"/>
      <c r="D19" s="203"/>
      <c r="E19" s="208">
        <f>F4</f>
        <v>2021</v>
      </c>
      <c r="F19" s="206"/>
      <c r="G19" s="203"/>
      <c r="H19" s="203"/>
      <c r="I19" s="203"/>
    </row>
    <row r="20" spans="1:9" x14ac:dyDescent="0.2">
      <c r="A20" s="203"/>
      <c r="B20" s="203"/>
      <c r="C20" s="203"/>
      <c r="D20" s="203"/>
      <c r="E20" s="210">
        <f>ROUND(D4*1000/2.22,0)</f>
        <v>828059</v>
      </c>
      <c r="F20" s="203"/>
      <c r="G20" s="203"/>
      <c r="H20" s="203"/>
      <c r="I20" s="203"/>
    </row>
    <row r="21" spans="1:9" x14ac:dyDescent="0.2">
      <c r="A21" s="203"/>
      <c r="B21" s="203"/>
      <c r="C21" s="203"/>
      <c r="D21" s="203"/>
      <c r="E21" s="203"/>
      <c r="F21" s="203"/>
      <c r="G21" s="203"/>
      <c r="H21" s="203"/>
      <c r="I21" s="203"/>
    </row>
    <row r="22" spans="1:9" x14ac:dyDescent="0.2">
      <c r="A22" s="203"/>
      <c r="B22" s="203"/>
      <c r="C22" s="203"/>
      <c r="D22" s="203"/>
      <c r="E22" s="208">
        <f>F5</f>
        <v>2025</v>
      </c>
      <c r="F22" s="203"/>
      <c r="G22" s="203"/>
      <c r="H22" s="203"/>
      <c r="I22" s="203"/>
    </row>
    <row r="23" spans="1:9" x14ac:dyDescent="0.2">
      <c r="A23" s="203"/>
      <c r="B23" s="203"/>
      <c r="C23" s="203"/>
      <c r="D23" s="203"/>
      <c r="E23" s="210">
        <f>ROUND(D5*1000/2.22,0)</f>
        <v>925345</v>
      </c>
      <c r="F23" s="203"/>
      <c r="G23" s="203"/>
      <c r="H23" s="203"/>
      <c r="I23" s="203"/>
    </row>
    <row r="24" spans="1:9" x14ac:dyDescent="0.2">
      <c r="A24" s="203"/>
      <c r="B24" s="203"/>
      <c r="C24" s="203"/>
      <c r="D24" s="203"/>
      <c r="E24" s="203"/>
      <c r="F24" s="203"/>
      <c r="G24" s="203"/>
      <c r="H24" s="203"/>
      <c r="I24" s="203"/>
    </row>
    <row r="25" spans="1:9" x14ac:dyDescent="0.2">
      <c r="A25" s="203"/>
      <c r="B25" s="203"/>
      <c r="C25" s="203"/>
      <c r="D25" s="203"/>
      <c r="E25" s="203"/>
      <c r="F25" s="203"/>
      <c r="G25" s="203"/>
      <c r="H25" s="203"/>
      <c r="I25" s="203"/>
    </row>
    <row r="26" spans="1:9" x14ac:dyDescent="0.2">
      <c r="A26" s="203"/>
      <c r="B26" s="203"/>
      <c r="C26" s="203"/>
      <c r="D26" s="203"/>
      <c r="E26" s="203"/>
      <c r="F26" s="203"/>
      <c r="G26" s="203"/>
      <c r="H26" s="203"/>
      <c r="I26" s="203"/>
    </row>
    <row r="27" spans="1:9" x14ac:dyDescent="0.2">
      <c r="A27" s="203"/>
      <c r="B27" s="203"/>
      <c r="C27" s="203"/>
      <c r="D27" s="203"/>
      <c r="E27" s="203"/>
      <c r="F27" s="203"/>
      <c r="G27" s="203"/>
      <c r="H27" s="203"/>
      <c r="I27" s="203"/>
    </row>
    <row r="28" spans="1:9" x14ac:dyDescent="0.2">
      <c r="A28" s="203"/>
      <c r="B28" s="203"/>
      <c r="C28" s="203"/>
      <c r="D28" s="203"/>
      <c r="E28" s="211"/>
      <c r="F28" s="206"/>
      <c r="G28" s="203"/>
      <c r="H28" s="203"/>
      <c r="I28" s="203"/>
    </row>
    <row r="29" spans="1:9" x14ac:dyDescent="0.2">
      <c r="A29" s="203"/>
      <c r="B29" s="203"/>
      <c r="C29" s="203"/>
      <c r="D29" s="203"/>
      <c r="E29" s="206"/>
      <c r="F29" s="206"/>
      <c r="G29" s="203"/>
      <c r="H29" s="203"/>
      <c r="I29" s="203"/>
    </row>
    <row r="30" spans="1:9" ht="17" thickBot="1" x14ac:dyDescent="0.25"/>
    <row r="31" spans="1:9" ht="17" thickBot="1" x14ac:dyDescent="0.25">
      <c r="C31" s="212"/>
      <c r="D31" s="204">
        <f>F5</f>
        <v>2025</v>
      </c>
    </row>
    <row r="32" spans="1:9" x14ac:dyDescent="0.2">
      <c r="C32" s="213" t="s">
        <v>1</v>
      </c>
      <c r="D32" s="216">
        <f>SUMIF('Scope Jaar'!$B$6:$F$6,D31,'Scope Jaar'!$B$7:$F$7)</f>
        <v>17.867982000000001</v>
      </c>
    </row>
    <row r="33" spans="3:4" x14ac:dyDescent="0.2">
      <c r="C33" s="214" t="s">
        <v>115</v>
      </c>
      <c r="D33" s="216">
        <f>SUMIF('Scope Jaar'!$B$6:$F$6,D31,'Scope Jaar'!$B$8:$F$8)</f>
        <v>1991.4679959</v>
      </c>
    </row>
    <row r="34" spans="3:4" x14ac:dyDescent="0.2">
      <c r="C34" s="214" t="s">
        <v>229</v>
      </c>
      <c r="D34" s="216">
        <f>SUMIF('Scope Jaar'!$B$6:$F$6,D31,'Scope Jaar'!$B$9:$F$9)</f>
        <v>33.955440150000001</v>
      </c>
    </row>
    <row r="35" spans="3:4" x14ac:dyDescent="0.2">
      <c r="C35" s="214" t="s">
        <v>228</v>
      </c>
      <c r="D35" s="216">
        <f>SUMIF('Scope Jaar'!$B$6:$F$6,D31,'Scope Jaar'!$B$10:$F$10)</f>
        <v>7.2195239999999998</v>
      </c>
    </row>
    <row r="36" spans="3:4" x14ac:dyDescent="0.2">
      <c r="C36" s="214" t="s">
        <v>11</v>
      </c>
      <c r="D36" s="216">
        <f>SUMIF('Scope Jaar'!$B$6:$F$6,D31,'Scope Jaar'!$B$11:$F$11)</f>
        <v>0</v>
      </c>
    </row>
    <row r="37" spans="3:4" x14ac:dyDescent="0.2">
      <c r="C37" s="214" t="s">
        <v>2</v>
      </c>
      <c r="D37" s="216">
        <f>SUMIF('Scope Jaar'!$B$6:$F$6,D31,'Scope Jaar'!$B$12:$F$12)</f>
        <v>0</v>
      </c>
    </row>
    <row r="38" spans="3:4" x14ac:dyDescent="0.2">
      <c r="C38" s="214" t="s">
        <v>123</v>
      </c>
      <c r="D38" s="216">
        <f>SUMIF('Scope Jaar'!$B$6:$F$6,D31,'Scope Jaar'!$B$13:$F$13)</f>
        <v>0</v>
      </c>
    </row>
    <row r="39" spans="3:4" ht="17" thickBot="1" x14ac:dyDescent="0.25">
      <c r="C39" s="215" t="s">
        <v>12</v>
      </c>
      <c r="D39" s="216">
        <f>SUMIF('Scope Jaar'!$B$6:$F$6,D31,'Scope Jaar'!$B$14:$F$14)</f>
        <v>0</v>
      </c>
    </row>
    <row r="40" spans="3:4" ht="17" thickBot="1" x14ac:dyDescent="0.25">
      <c r="C40" s="212" t="s">
        <v>34</v>
      </c>
      <c r="D40" s="216">
        <f>SUMIF('Scope Jaar'!$B$6:$F$6,D31,'Scope Jaar'!$B$19:$F$19)</f>
        <v>0</v>
      </c>
    </row>
    <row r="45" spans="3:4" ht="14" customHeight="1" x14ac:dyDescent="0.2"/>
  </sheetData>
  <sheetProtection algorithmName="SHA-512" hashValue="xioCo5jZmOILyFxJ9Xy+LxcrH/BqkzBThM9viCXHzItOokkRhp5X8i+T1f1/i///H9UsPyUnX6TU1POoaCJCsA==" saltValue="bCKmnK5O2Xqsv3eVHWxPTA==" spinCount="100000" sheet="1" objects="1" scenarios="1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8</vt:i4>
      </vt:variant>
    </vt:vector>
  </HeadingPairs>
  <TitlesOfParts>
    <vt:vector size="19" baseType="lpstr">
      <vt:lpstr>Scope Absoluut</vt:lpstr>
      <vt:lpstr>Scope Jaar</vt:lpstr>
      <vt:lpstr>Scope Halfjaar</vt:lpstr>
      <vt:lpstr>Absoluut</vt:lpstr>
      <vt:lpstr>CO2</vt:lpstr>
      <vt:lpstr>Lasgas bepaling</vt:lpstr>
      <vt:lpstr>CO2 equivalenten</vt:lpstr>
      <vt:lpstr>alles</vt:lpstr>
      <vt:lpstr>Inzichtelijk</vt:lpstr>
      <vt:lpstr>Controle tabellen</vt:lpstr>
      <vt:lpstr>Materieel</vt:lpstr>
      <vt:lpstr>Absoluut!Afdrukbereik</vt:lpstr>
      <vt:lpstr>'CO2'!Afdrukbereik</vt:lpstr>
      <vt:lpstr>'CO2 equivalenten'!Afdrukbereik</vt:lpstr>
      <vt:lpstr>'Scope Absoluut'!Afdrukbereik</vt:lpstr>
      <vt:lpstr>'Scope Jaar'!Afdrukbereik</vt:lpstr>
      <vt:lpstr>Absoluut!Afdruktitels</vt:lpstr>
      <vt:lpstr>'CO2'!Afdruktitels</vt:lpstr>
      <vt:lpstr>'CO2 equivalenten'!Afdruktitels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Financieel | VdPas Consultancy B.V.</cp:lastModifiedBy>
  <cp:lastPrinted>2026-02-17T14:02:23Z</cp:lastPrinted>
  <dcterms:created xsi:type="dcterms:W3CDTF">2020-06-24T12:24:16Z</dcterms:created>
  <dcterms:modified xsi:type="dcterms:W3CDTF">2026-02-18T10:07:35Z</dcterms:modified>
</cp:coreProperties>
</file>